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200" windowHeight="10065" activeTab="3"/>
  </bookViews>
  <sheets>
    <sheet name="REKAPITULACE" sheetId="1" r:id="rId1"/>
    <sheet name="SO101" sheetId="2" r:id="rId2"/>
    <sheet name="SO102" sheetId="3" r:id="rId3"/>
    <sheet name="SO201" sheetId="4" r:id="rId4"/>
    <sheet name="SO202" sheetId="5" r:id="rId5"/>
    <sheet name="SO402-rekapitulace" sheetId="6" r:id="rId6"/>
    <sheet name="SO402-soupis položek" sheetId="7" r:id="rId7"/>
    <sheet name="SO403-rekapitulace" sheetId="8" r:id="rId8"/>
    <sheet name="SO403-soupis položek" sheetId="9" r:id="rId9"/>
    <sheet name="SO404" sheetId="10" r:id="rId10"/>
    <sheet name="PS456" sheetId="11" r:id="rId11"/>
    <sheet name="SO701" sheetId="12" r:id="rId12"/>
    <sheet name="PS701" sheetId="13" r:id="rId13"/>
  </sheets>
  <definedNames>
    <definedName name="_xlnm._FilterDatabase" localSheetId="1" hidden="1">'SO101'!$B$1:$B$120</definedName>
    <definedName name="_xlnm._FilterDatabase" localSheetId="2" hidden="1">'SO102'!$B$1:$B$64</definedName>
    <definedName name="_xlnm._FilterDatabase" localSheetId="3" hidden="1">'SO201'!$A$1:$B$455</definedName>
    <definedName name="_xlnm._FilterDatabase" localSheetId="4" hidden="1">'SO202'!$B$1:$B$52</definedName>
    <definedName name="_xlnm._FilterDatabase" localSheetId="11" hidden="1">'SO701'!$A$1:$A$134</definedName>
    <definedName name="_xlnm.Print_Titles" localSheetId="12">'PS701'!$5:$7</definedName>
    <definedName name="_xlnm.Print_Titles" localSheetId="1">'SO101'!$5:$7</definedName>
    <definedName name="_xlnm.Print_Titles" localSheetId="2">'SO102'!$5:$7</definedName>
    <definedName name="_xlnm.Print_Titles" localSheetId="3">'SO201'!$6:$8</definedName>
    <definedName name="_xlnm.Print_Titles" localSheetId="4">'SO202'!$5:$7</definedName>
    <definedName name="_xlnm.Print_Titles" localSheetId="6">'SO402-soupis položek'!$5:$6</definedName>
    <definedName name="_xlnm.Print_Titles" localSheetId="8">'SO403-soupis položek'!$5:$6</definedName>
    <definedName name="_xlnm.Print_Titles" localSheetId="11">'SO701'!$5:$7</definedName>
    <definedName name="_xlnm.Print_Area" localSheetId="10">'PS456'!$A$2:$H$13</definedName>
    <definedName name="_xlnm.Print_Area" localSheetId="12">'PS701'!$A$2:$H$14</definedName>
    <definedName name="_xlnm.Print_Area" localSheetId="0">'REKAPITULACE'!$A$1:$E$21</definedName>
    <definedName name="_xlnm.Print_Area" localSheetId="1">'SO101'!$A$2:$H$120</definedName>
    <definedName name="_xlnm.Print_Area" localSheetId="2">'SO102'!$A$2:$H$61</definedName>
    <definedName name="_xlnm.Print_Area" localSheetId="3">'SO201'!$A$2:$H$371</definedName>
    <definedName name="_xlnm.Print_Area" localSheetId="4">'SO202'!$A$2:$H$48</definedName>
    <definedName name="_xlnm.Print_Area" localSheetId="5">'SO402-rekapitulace'!$A$1:$F$35</definedName>
    <definedName name="_xlnm.Print_Area" localSheetId="6">'SO402-soupis položek'!$A$1:$I$60</definedName>
    <definedName name="_xlnm.Print_Area" localSheetId="7">'SO403-rekapitulace'!$A$1:$F$35</definedName>
    <definedName name="_xlnm.Print_Area" localSheetId="8">'SO403-soupis položek'!$A$1:$I$55</definedName>
    <definedName name="_xlnm.Print_Area" localSheetId="9">'SO404'!$A$2:$H$17</definedName>
    <definedName name="_xlnm.Print_Area" localSheetId="11">'SO701'!$A$2:$H$134</definedName>
  </definedNames>
  <calcPr fullCalcOnLoad="1"/>
</workbook>
</file>

<file path=xl/sharedStrings.xml><?xml version="1.0" encoding="utf-8"?>
<sst xmlns="http://schemas.openxmlformats.org/spreadsheetml/2006/main" count="1794" uniqueCount="684">
  <si>
    <t>DPH</t>
  </si>
  <si>
    <t>Poř.
č.pol.</t>
  </si>
  <si>
    <t>1</t>
  </si>
  <si>
    <t>Kód
položky</t>
  </si>
  <si>
    <t>Název položky</t>
  </si>
  <si>
    <t>jednotka</t>
  </si>
  <si>
    <t>Počet
jednotek</t>
  </si>
  <si>
    <t>jednotková</t>
  </si>
  <si>
    <t>celkem</t>
  </si>
  <si>
    <t>Sazba</t>
  </si>
  <si>
    <t>2</t>
  </si>
  <si>
    <t>3</t>
  </si>
  <si>
    <t>4</t>
  </si>
  <si>
    <t>5</t>
  </si>
  <si>
    <t>7</t>
  </si>
  <si>
    <t>8</t>
  </si>
  <si>
    <t>Všeobecné konstrukce a práce</t>
  </si>
  <si>
    <t>0</t>
  </si>
  <si>
    <t>POPLATKY ZA SKLÁDKU TYP S-IO (INERTNÍ ODPAD)</t>
  </si>
  <si>
    <t xml:space="preserve">M3        </t>
  </si>
  <si>
    <t xml:space="preserve">T         </t>
  </si>
  <si>
    <t>02943</t>
  </si>
  <si>
    <t>OSTATNÍ POŽADAVKY - VYPRACOVÁNÍ RDS</t>
  </si>
  <si>
    <t xml:space="preserve">KČ        </t>
  </si>
  <si>
    <t>02944</t>
  </si>
  <si>
    <t>OSTAT POŽADAVKY - DOKUMENTACE SKUTEČ PROVEDENÍ V DIGIT FORMĚ</t>
  </si>
  <si>
    <t>Zemní práce</t>
  </si>
  <si>
    <t>Základy</t>
  </si>
  <si>
    <t>Komunikace</t>
  </si>
  <si>
    <t>574A33</t>
  </si>
  <si>
    <t>ASFALTOVÝ BETON PRO OBRUSNÉ VRSTVY ACO 11 TL. 40MM</t>
  </si>
  <si>
    <t>Ostatní konstrukce a práce</t>
  </si>
  <si>
    <t>9</t>
  </si>
  <si>
    <t xml:space="preserve">KUS       </t>
  </si>
  <si>
    <t>C e l k e m</t>
  </si>
  <si>
    <t>01400</t>
  </si>
  <si>
    <t>014112</t>
  </si>
  <si>
    <t>029412</t>
  </si>
  <si>
    <t>17411</t>
  </si>
  <si>
    <t>Svislé konstrukce</t>
  </si>
  <si>
    <t>Vodorovné konstrukce</t>
  </si>
  <si>
    <t>Přidružená stavební výroba</t>
  </si>
  <si>
    <t xml:space="preserve">OSTATNÍ POŽADAVKY - VYPRACOVÁNÍ MOSTNÍHO LISTU
</t>
  </si>
  <si>
    <t>M3</t>
  </si>
  <si>
    <t>T</t>
  </si>
  <si>
    <t>M2</t>
  </si>
  <si>
    <t>PILOTY ZE ŽELEZOBETONU C30/37</t>
  </si>
  <si>
    <t>M</t>
  </si>
  <si>
    <t>MIKROPILOTY KOMPLET D DO 150MM NA POVRCHU</t>
  </si>
  <si>
    <t>ZÁKLADY ZE ŽELEZOBETONU DO C30/37 (B37)</t>
  </si>
  <si>
    <t>MOSTNÍ OPĚRY A KŘÍDLA ZE ŽELEZOVÉHO BETONU DO C30/37 (B37)</t>
  </si>
  <si>
    <t>SO 101</t>
  </si>
  <si>
    <t>SO 102</t>
  </si>
  <si>
    <t>SO 201</t>
  </si>
  <si>
    <t>SO 202</t>
  </si>
  <si>
    <t>SO 402</t>
  </si>
  <si>
    <t>SO 403</t>
  </si>
  <si>
    <t>SO 404</t>
  </si>
  <si>
    <t>PS 456</t>
  </si>
  <si>
    <t>SO 701</t>
  </si>
  <si>
    <t>PS 701</t>
  </si>
  <si>
    <t>03630</t>
  </si>
  <si>
    <t>02953</t>
  </si>
  <si>
    <t>KČ</t>
  </si>
  <si>
    <t>KUS</t>
  </si>
  <si>
    <t>MOSTNÍ NOSNÉ DESKOVÉ KONSTRUKCE ZE ŽELEZOBETONU C30/37</t>
  </si>
  <si>
    <t>ZATĚŽOVACÍ ZKOUŠKA MOSTU STATICKÁ 1. POLE DO 300M2</t>
  </si>
  <si>
    <t>Stavba: KARLOVY VARY - LÁVKA PŘES HORNÍ NÁDRAŽÍ</t>
  </si>
  <si>
    <t>DLAŽBY Z DÍLCŮ BETONOVÝCH</t>
  </si>
  <si>
    <t>VÝPLŇ VRSTVY Z KAMENIVA DRCENÉHO, INDEX ZHUTNĚNÍ ID DO 0,9</t>
  </si>
  <si>
    <t>PODKLADNÍ A VÝPLŇOVÉ VRSTVY Z KAMENIVA DRCENÉHO</t>
  </si>
  <si>
    <t>ZÁHONOVÉ OBRUBY Z BETONOVÝCH OBRUBNÍKŮ ŠÍŘ 80MM</t>
  </si>
  <si>
    <t>Konstrukce chodníkové rampy: 124,5m2</t>
  </si>
  <si>
    <t>VOZOVKOVÉ VRSTVY Z RECYKLOVANÉHO MATERIÁLU TL DO 50MM</t>
  </si>
  <si>
    <t>SPOJOVACÍ POSTŘIK Z ASFALTU DO 0,5KG/M2</t>
  </si>
  <si>
    <t>SCHODIŠŤ KONSTR Z DÍLCŮ BETON</t>
  </si>
  <si>
    <t>SCHODIŠŤ KONSTR ZE ŽELEZOBETONU DO C30/37 (B37)</t>
  </si>
  <si>
    <t>SILNIČNÍ A CHODNÍKOVÉ OBRUBY Z BETONOVÝCH OBRUBNÍKŮ ŠÍŘ 150MM</t>
  </si>
  <si>
    <t>ASFALTOVÝ BETON PRO PODKLADNÍ VRSTVY ACP 16+, 16S TL. 50MM</t>
  </si>
  <si>
    <t>574E46</t>
  </si>
  <si>
    <t>6+7m</t>
  </si>
  <si>
    <t>SEJMUTÍ ORNICE NEBO LESNÍ PŮDY</t>
  </si>
  <si>
    <t>na části plochy pod novou příjezdovou komunikací, 8m2, tl.400mm</t>
  </si>
  <si>
    <t>na části plochy pod novou příjezdovou komunikací, 22m2, tl.400mm</t>
  </si>
  <si>
    <t>M3KM</t>
  </si>
  <si>
    <t>ODKOPÁVKY A PROKOPÁVKY OBECNÉ TŘ. I - DOPRAVA</t>
  </si>
  <si>
    <t>12273B</t>
  </si>
  <si>
    <t>odvoz přebytečného výkopku do 10km, 299,8-107,1=192,7m3</t>
  </si>
  <si>
    <t>ULOŽENÍ SYPANINY DO NÁSYPŮ V AKTIVNÍ ZÓNĚ SE ZHUT SE ZLEPŠENÍM ZEMINY</t>
  </si>
  <si>
    <t>ODKOPÁVKY A PROKOPÁVKY OBECNÉ TŘ. I, ODVOZ DO 1KM</t>
  </si>
  <si>
    <t>výkopová část rampy: 299,8m3, vodorovná doprava po staveništi</t>
  </si>
  <si>
    <t>ULOŽENÍ SYPANINY DO NÁSYPŮ A NA SKLÁDKY BEZ ZHUTNĚNÍ</t>
  </si>
  <si>
    <t>Stavba : KARLOVY VARY - LÁVKA PŘES HORNÍ NÁDRAŽÍ</t>
  </si>
  <si>
    <t>Úpravy předpolí</t>
  </si>
  <si>
    <t>Komunikace k trafostanici</t>
  </si>
  <si>
    <t>Demolice lávky</t>
  </si>
  <si>
    <t>Přípojka NN k výtahu</t>
  </si>
  <si>
    <t>Přeložka přívodní kabelové trasy pro objekt OTV K.Vary</t>
  </si>
  <si>
    <t>Výtahová šachta</t>
  </si>
  <si>
    <t>Výtah-Technologie</t>
  </si>
  <si>
    <t>Potrubí</t>
  </si>
  <si>
    <t>m2</t>
  </si>
  <si>
    <t>m3</t>
  </si>
  <si>
    <t>m</t>
  </si>
  <si>
    <t>ZŘÍZENÍ ZÁPOR</t>
  </si>
  <si>
    <t>t</t>
  </si>
  <si>
    <t>VÝDŘEVA ZÁPOROVÉHO PAŽENÍ TRVALÁ (KUBATURA)</t>
  </si>
  <si>
    <t>PŘEZDĚNÍ ZDÍ Z KAMENNÉHO ZDIVA</t>
  </si>
  <si>
    <t>ÚPRAVA POVRCHŮ SROVNÁNÍM ÚZEMÍ V TL DO 0,25M</t>
  </si>
  <si>
    <t>ROZPROSTŘENÍ ORNICE VE SVAHU V TL DO 0,10M</t>
  </si>
  <si>
    <t>ZALOŽENÍ TRÁVNÍKU RUČNÍM VÝSEVEM</t>
  </si>
  <si>
    <t>severní strana</t>
  </si>
  <si>
    <t>POPLATKY ZA SKLÁDKU</t>
  </si>
  <si>
    <t>INJEKTOVÁNÍ VYSOKOTLAKÉ Z CEMENTOVÝCH POJIV NA POVRCHU</t>
  </si>
  <si>
    <t>POPLATKY</t>
  </si>
  <si>
    <t>ÚPRAVA POVRCHŮ SROVNÁNÍM ÚZEMÍ V TL DO 0,75M</t>
  </si>
  <si>
    <t>60M2</t>
  </si>
  <si>
    <t>VYBOURÁNÍ ČÁSTÍ KONSTRUKCÍ Z BETON DÍLCŮ</t>
  </si>
  <si>
    <t>SVODIDLO BETON, ÚROVEŇ ZADRŽ N2 VÝŠ 0,8M - DODÁVKA A MONTÁŽ</t>
  </si>
  <si>
    <t>911CA1</t>
  </si>
  <si>
    <t>SVODIDLO BETON, ÚROVEŇ ZADRŽ N2 VÝŠ 0,8M - DEMONTÁŽ S PŘESUNEM</t>
  </si>
  <si>
    <t>911CA3</t>
  </si>
  <si>
    <t>TRATIVODY KOMPL Z TRUB Z PLAST HM DN DO 150MM, RÝHA TŘ I</t>
  </si>
  <si>
    <t>VRTY PRO PILOTY TŘ. I D DO 1000MM</t>
  </si>
  <si>
    <t>VRTY PRO PILOTY TŘ. II D DO 1000MM</t>
  </si>
  <si>
    <t>VRTY PRO PILOTY TŘ. III D DO 1000MM</t>
  </si>
  <si>
    <t>VÝZTUŽ PILOT Z OCELI 10505</t>
  </si>
  <si>
    <t>PODKLADNÍ A VÝPLŇOVÉ VRSTVY Z PROSTÉHO BETONU C25/30</t>
  </si>
  <si>
    <t>VRTY PRO KOTVENÍ, INJEKTÁŽ A MIKROPILOTY NA POVRCHU TŘ. II D DO 300MM</t>
  </si>
  <si>
    <t>VRTY PRO KOTVENÍ, INJEKTÁŽ A MIKROPILOTY NA POVRCHU TŘ. I D DO 200MM</t>
  </si>
  <si>
    <t>VRTY PRO KOTVENÍ, INJEKTÁŽ A MIKROPILOTY NA POVRCHU TŘ. III D DO 200MM</t>
  </si>
  <si>
    <t>sever.strana,odstranění stávajících pozůstatků zábradlí na koruně zdi (beton a ocel.sloupky): 0,2*0,2*1,1*3ks</t>
  </si>
  <si>
    <t>sever.strana, 4*13m*0,1m</t>
  </si>
  <si>
    <t>sever.strana, demontáž betonových svodidel a odvoz do skladu investora</t>
  </si>
  <si>
    <t>sever.strana, injektáž zdiva zárubní zdi pod základem</t>
  </si>
  <si>
    <t>sever.strana, vrty pro injektáž zdiva zárubní zdi</t>
  </si>
  <si>
    <t>jižní strana, 160kg/m3 (ocel.kříže u pat pilot jako Němci!!!!)</t>
  </si>
  <si>
    <t>jižní strana, celk.délka vrtu 10,9m ( 6m v TŘ. I), 10ks</t>
  </si>
  <si>
    <t>jižní strana, celk.délka vrtu 10,9m ( 1,5m v TŘ. II), 10ks</t>
  </si>
  <si>
    <t>jižní strana, celk.délka vrtu 10,9m ( 3,4m v TŘ. III), 10ks</t>
  </si>
  <si>
    <t>podkladní betony</t>
  </si>
  <si>
    <t>VRTY PRO KOTVENÍ, INJEKTÁŽ A MIKROPILOTY NA POVRCHU TŘ. IV D DO 300MM</t>
  </si>
  <si>
    <t>VRTY PRO KOTVENÍ, INJEKTÁŽ A MIKROPILOTY NA POVRCHU TŘ. IV D DO 200MM</t>
  </si>
  <si>
    <t>VÝZTUŽ ZÁKLADŮ Z OCELI 10505</t>
  </si>
  <si>
    <t>jižní základový blok: odhad 150 kg/m3, 0,15*54,18</t>
  </si>
  <si>
    <t>KOTVENÍ NA POVRCHU Z PŘEDPÍNACÍ VÝZTUŽE DL. DO 10M</t>
  </si>
  <si>
    <t>PŘÍPLATEK ZA DALŠÍ 1M KOTVENÍ NA POVRCHU Z PŘEDPÍNACÍ VÝZTUŽE</t>
  </si>
  <si>
    <t>285379R01</t>
  </si>
  <si>
    <t>KS</t>
  </si>
  <si>
    <t>ŠACHTY KANALIZAČNÍ Z BETON DÍLCŮ NA POTRUBÍ DN DO 300MM</t>
  </si>
  <si>
    <t>894145R01</t>
  </si>
  <si>
    <t>VRTY PRO KOTVENÍ, INJEKTÁŽ A MIKROPILOTY NA POVRCHU TŘ. I D DO 300MM</t>
  </si>
  <si>
    <t>VRTY PRO KOTVENÍ, INJEKTÁŽ A MIKROPILOTY NA POVRCHU TŘ. III D DO 300MM</t>
  </si>
  <si>
    <t>jižní strana, vrty pro kotvy, celk.délka vrtu 20m ( 10m v TŘ. III), 4ks</t>
  </si>
  <si>
    <t>jižní strana, vrty pro kotvy, celk.délka vrtu 20m ( 2m v TŘ. II), 4ks</t>
  </si>
  <si>
    <t>jižní strana, vrty pro kotvy, celk.délka vrtu 20m ( 8m v TŘ. I), 4ks</t>
  </si>
  <si>
    <t>BOURÁNÍ KONSTRUKCÍ KOVOVÝCH</t>
  </si>
  <si>
    <t>schodišťové pole, (170*13+2*17,7*11,7+15,7*11,7)/1000
pole 1, (2500+26*2*12)/1000
pole 2, (5300+21*2*20)/1000
pole 3, (5300+21*2*20)/1000
pole 4, (2900+26*2*15)/1000
podpěry, (600+1400+3*2100+1400)/1000
protidotyk.zábrany,odhad 10kg/m2, 3m*5,03m,10ks=1509kg
-nosníky se zábradlím budou uloženy do městského skladu
-odstranění ocelové konstrukce pomocí autojeřábu s nosností max.6t na rameni 27m</t>
  </si>
  <si>
    <t>železobeton základů a dlažba podest a schodišť na severní straně</t>
  </si>
  <si>
    <t>VÝTAHOVÁ TECHNOLOGIE</t>
  </si>
  <si>
    <t>KPL</t>
  </si>
  <si>
    <t>kus</t>
  </si>
  <si>
    <t>34620001R</t>
  </si>
  <si>
    <t>OCHRANA IZOLACE NA SVISLÝCH ČÁSTECH Z EXP</t>
  </si>
  <si>
    <t>PODLAHOVE VPUSTI</t>
  </si>
  <si>
    <t>741A1101R</t>
  </si>
  <si>
    <t>PŘIPOJOVACÍ VODIČ V ZÁKLADECH FEZN DO 120 MM2</t>
  </si>
  <si>
    <t>741A4101R</t>
  </si>
  <si>
    <t>UZEMŇOVACÍ VODIČ V ZÁKLADECH OCELOVÝ DO 120 MM2</t>
  </si>
  <si>
    <t>76799001R</t>
  </si>
  <si>
    <t>HLAVICE MIKROPILOT</t>
  </si>
  <si>
    <t>kg</t>
  </si>
  <si>
    <t>76799002R</t>
  </si>
  <si>
    <t>OCELOVÁ KONSTRUKCE VÝTAHOVÉ VĚŽE</t>
  </si>
  <si>
    <t>76799003R</t>
  </si>
  <si>
    <t>OCELOVÁ KONSTRUKCE VÝTAHOVÉ VĚŽE - DOPRAVA+OSAZENÍ</t>
  </si>
  <si>
    <t>soubor</t>
  </si>
  <si>
    <t>78100001R</t>
  </si>
  <si>
    <t>OPLÁŠTĚNÍ Z KOMPOZITNÍCH SENDVIČOVÝCH DESEK S KRYCÍMI PLECHY Z HLINÍKU</t>
  </si>
  <si>
    <t>NÁTĚRY BETON KONSTR TYP S2 (OS-B)</t>
  </si>
  <si>
    <t>NÁTĚRY BETON KONSTR TYP S9 (OS-E)</t>
  </si>
  <si>
    <t>78700001R</t>
  </si>
  <si>
    <t>OPLÁŠTĚNÍ Z BEZPEČNOSTNÍHO SKLA</t>
  </si>
  <si>
    <t>CHODNÍKOVÉ OBRUBY Z BETONOVÝCH OBRUBNÍKŮ</t>
  </si>
  <si>
    <t>VRT PRO KOTV, INJEK, MIKROPIL NA POVR TŘ I D DO 200MM</t>
  </si>
  <si>
    <t>VRT PRO KOTV, INJEK, MIKROPIL NA POVR TŘ II D DO 200MM</t>
  </si>
  <si>
    <t>celk.délka: 6*11.4m=68,4m, ve TŘ.I-dl.6*6m</t>
  </si>
  <si>
    <t>celk.délka: 6*11.4m=68,4m, ve TŘ.II-dl.6*1m</t>
  </si>
  <si>
    <t>celk.délka: 6*11.4m=68,4m, ve TŘ.III-dl.6*4,4m</t>
  </si>
  <si>
    <t>dl.kořene 6m, TR 108/16, 6ks*10</t>
  </si>
  <si>
    <t>položka zahrnuje:
- dodání předepsaného materiálu
- osazení polystyrenových desek na sraz na terče z bitumenového tmele
- úprava u okrajů, rohů, hran, dilatačních i pracovních spojů, kotev, obrubníků, dilatačních zařízení, odvodnění, otvorů, neizolovaných míst a pod.</t>
  </si>
  <si>
    <t>extrudovaný polystyren tl.30mm, základ: 12m2, tubus 10m2</t>
  </si>
  <si>
    <t>Položka zahrnuje:
-dodání předepsaného materiálu
-osazení na místo dle projektové dokumentace (včetně přivaření)
-dodání veškerého potřebného příslušenství (spojky,svorky,...)</t>
  </si>
  <si>
    <t>Položka zahrnuje:
-výrobu, dodávku i montáž (montážní svary)</t>
  </si>
  <si>
    <t>položka zahrnuje:
- vypracování VTD v koordinaci s VTD výtahové technologie a VTD opláštění z bezpečnostního skla, včetně technologického předpisu spojování
- dodání materiálu v požadované kvalitě a výroba konstrukce i dílenská (včetně pomůcek, přípravků a prostředků pro výrobu) bez ohledu na náročnost a její hmotnost, dílenská montáž, 
- včetně protikorozní ochrany dle projektové dokumentace,
- včetně nerezových prahů se slzičkovou úpravou u obou vstupů do výtahu,
- dodání a provedení veškerého kotvení (chemické kotvy), včetně vrtů pro kotvení, včetně podlití patních plechů kotevní zálivkou,
- dodání dílce požadovaného tvaru a vlastností, jeho skladování, doprava a osazení do definitivní polohy, včetně komplexní technologie výroby a montáže dílců, ošetření a ochrana dílců,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</t>
  </si>
  <si>
    <t>- očištění a ošetření úložných ploch,
- zednické výpomoce pro montáž dílců,
- označení dílce výrobním štítkem nebo jiným způsobem,
- veškerá zařízení pro zajištění stability v každém okamžiku,
- dodání spojovacího materiálu,
- zřízení montážních a dilatačních spojů,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jakákoliv doprava a manipulace dílců a montážních sestav, včetně dopravy konstrukce z výrobny na stavbu, není-li samostatně vykázána
- montáž konstrukce na staveništi, včetně montážních prostředků a pomůcek a zednických výpomocí,
- montážní dokumentace včetně technologického předpisu montáže,
- výplň, těsnění a tmelení spar a spojů,
- čištění konstrukce a odstranění všech vrubů (vrypy, otlačeniny a pod.),
- dílenskou přejímku a montážní prohlídku, včetně požadovaných dokladů</t>
  </si>
  <si>
    <t>položka zahrnuje:
-dopravení na staveniště, osazení pomocí jeřábu</t>
  </si>
  <si>
    <t>položka zahrnuje:
- vypracování VTD v koordinaci s VTD výtahové technologie a VTD opláštění z bezpečnostního skla v horní části výtahové věže,
- dodání dílců požadovaného tvaru a vlastností (včetně kotevního, spojovacího a dalšího příslušenství), jejich skladování a ochrana před, při i po osazení do definitivní polohy,
- úpravy a zařízení pro uložení a transport dílců,
- montáž do definitivní polohy, včetně případných vrtů pro kotvení,
- zednické výpomoce pro montáž dílců,
- výplň, těsnění a tmelení spár a spojů,jsou-li požadovány,
- dodání spojovacího materiálu,
- zřízení montážních a dilatačních spojů,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další informace v technické zprávě</t>
  </si>
  <si>
    <t>2,65*1,65+0,3*(2*2,65+2*1,65), olejovzdorný a omyvatelný nátěr spádového betonu dna prohlubně výtahové věže + stěny do výšky 300mm</t>
  </si>
  <si>
    <t>položka zahrnuje:
- vypracování VTD v koordinaci s VTD výtahové technologie, VTD ocelové konstrukce a VTD opláštění s hliníkovými plechy ve spodní části výtahové věže,
- dodání dílců požadovaného tvaru a vlastností (včetně kotevního, spojovacího a dalšího příslušenství), jejich skladování a ochrana před, při i po osazení do definitivní polohy,
- včetně dodání skleněné markýzy 1.2m * 1.8m a jejích závěsů,
- včetně dodání a osazení pevné ventilační žaluzie se síťkou  (na zadní straně pod stropní deskou, na celou šířku, výška cca 0,5m)
- včetně hliníkových rohových profilů tl.2mm (čelní strana vstupu-2ks-dl.2m, jako okapnička střešního panelu-1ks-dl.2.2m, lišta proti ztékání z markýzy-1ks-dl.1.8m)
- úpravy a zařízení pro uložení a transport dílců,
- montáž do definitivní polohy, včetně případných vrtů pro kotvení,
- zednické výpomoce pro montáž dílců,
- výplň, těsnění a tmelení spár a spojů,jsou-li požadovány,
- dodání spojovacího materiálu,
- zřízení montážních a dilatačních spojů,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další informace v technické zprávě</t>
  </si>
  <si>
    <t>CHRÁNIČKY PŮLENÉ Z TRUB PLAST DN DO 200MM</t>
  </si>
  <si>
    <t>2*4,5m</t>
  </si>
  <si>
    <t>CHRÁNIČKY Z TRUB PLASTOVÝCH DN DO 200MM</t>
  </si>
  <si>
    <t>0,6*(12*6,8+2*7,3+2*7,8)</t>
  </si>
  <si>
    <t>0,4*(12*6,8+2*7,3+2*7,8)</t>
  </si>
  <si>
    <t>30ks, dl.4,5m</t>
  </si>
  <si>
    <t>VRT PRO KOTV, INJEK, MIKROPIL NA POVR TŘ III A IV D DO 50MM</t>
  </si>
  <si>
    <t>jižní strana kolem základového bloku + napojení do šachty, 33+2m</t>
  </si>
  <si>
    <t>OCELOVÉ PRŮCHODKY KOTEV</t>
  </si>
  <si>
    <t>Položka zahrnuje:
-výrobu, dodávku i montáž</t>
  </si>
  <si>
    <t>84kg/kus (včetně PKO roznášecí desky), 4ks</t>
  </si>
  <si>
    <t>jižní strana, trvalé pramencové kotvy dl.22m, 4ks, 4*12</t>
  </si>
  <si>
    <t>jižní strana, trvalé pramencové kotvy dl.22m, 4ks, 4*10</t>
  </si>
  <si>
    <t>kanalizační šachta u základu výtahu</t>
  </si>
  <si>
    <t>KG</t>
  </si>
  <si>
    <t>ZÁBRADLÍ - KONSTRUKČNÍ ČÁST</t>
  </si>
  <si>
    <t>ZÁBRADLÍ - VÝPLŇ</t>
  </si>
  <si>
    <t>POCHOZÍ STĚRKOVÁ IZOLACE</t>
  </si>
  <si>
    <t>NEREZOVÁ NÁŠLAPNÁ HRANA 1.4301</t>
  </si>
  <si>
    <t>schodišťová část: 381 kg
oblouková část:  0 m2</t>
  </si>
  <si>
    <t>OCELOVÁ KONSTRUKCE LÁVKY</t>
  </si>
  <si>
    <t>OCELOVÉ PROFILY BEDNĚNÍ MOSTOVKY</t>
  </si>
  <si>
    <t>421325R01</t>
  </si>
  <si>
    <t>VÝZTUŽ MOSTNÍ DESKOVÉ KONSTRUKCE Z OCELI 10505</t>
  </si>
  <si>
    <t>základ severní opěry, 2,8*8,0*0,7</t>
  </si>
  <si>
    <t>dřík severní opěry, 37,6m3</t>
  </si>
  <si>
    <t>VÝZTUŽ MOSTNÍCH OPĚR A KŘÍDEL Z OCELI 10505</t>
  </si>
  <si>
    <t>základ severní opěry, odhad 150 kg/m3</t>
  </si>
  <si>
    <t>závěrná zídka a křídla, 5,0m3</t>
  </si>
  <si>
    <t>421365R01</t>
  </si>
  <si>
    <t>odhad 220 kg/m3, spojování podélné výztuže objímkami, odhadem 300ks objímek</t>
  </si>
  <si>
    <t>ODKOPÁVKY A PROKOPÁVKY OBECNÉ TŘ. I</t>
  </si>
  <si>
    <t>ODSTRANĚNÍ KŘOVIN</t>
  </si>
  <si>
    <t>HLOUBENÍ JAM ZAPAŽ I NEPAŽ TŘ. I</t>
  </si>
  <si>
    <t>Chráničky metalických kabelů SŽDC (ČD-T) v  jižním základovém bloku</t>
  </si>
  <si>
    <t>žb. mostovka obloukové části</t>
  </si>
  <si>
    <t>VÝPLŇ ZA OPĚRAMI A ZDMI Z MEZEROVITÉHO BETONU</t>
  </si>
  <si>
    <t>ZÁSYP JAM A RÝH ZEMINOU SE ZHUTNĚNÍM</t>
  </si>
  <si>
    <t>ZÁVĚSY</t>
  </si>
  <si>
    <t>SOUP</t>
  </si>
  <si>
    <t>Systém konstrukčních táhel (táhlo,2 vidlice), rektifikovatelné, průměr táhla 30mm, S460, povrchová úprava dle výkresové dokumentace, včetně dopravy, montáže, rektifikace</t>
  </si>
  <si>
    <t>ZKOUŠENÍ KONSTRUKCÍ A PRACÍ NEZÁVISLOU ZKUŠEBNOU</t>
  </si>
  <si>
    <t>02620</t>
  </si>
  <si>
    <t>kč</t>
  </si>
  <si>
    <t>KOMPL</t>
  </si>
  <si>
    <t>POSUN PROVIZORNÍ STAVENIŠTNÍ BUŇKY S DOČASNÝMI KABELOVÝMI ROZVODY</t>
  </si>
  <si>
    <t>DOČASNÁ PŘELOŽKA STÁVAJÍCÍCH METALICKÝCH KABELŮ SŽDC (ČD-T)</t>
  </si>
  <si>
    <t>sever.strana, křoviny nad zárubní zdí na severní straně: 4*13m*0,5 (keře na 50% plochy)</t>
  </si>
  <si>
    <t>sever.strana, vypnutí trakčního obcházecího vedení po dobu vrtání zápor a kotev pažící konstrukce</t>
  </si>
  <si>
    <t>R</t>
  </si>
  <si>
    <t>767990R01</t>
  </si>
  <si>
    <t>767990R02</t>
  </si>
  <si>
    <t>740000R01</t>
  </si>
  <si>
    <t>Cenová soustava</t>
  </si>
  <si>
    <t>JEDNOTKOVÁ CENA</t>
  </si>
  <si>
    <t>CENA CELKEM</t>
  </si>
  <si>
    <t>711415R01</t>
  </si>
  <si>
    <t>711415R02</t>
  </si>
  <si>
    <t>422170R02</t>
  </si>
  <si>
    <t>422170R03</t>
  </si>
  <si>
    <t>422170R04</t>
  </si>
  <si>
    <t>stěrka na bázi metakrylátových pryskyřic bez vsypu, 100% účinná hydroizolace</t>
  </si>
  <si>
    <t>třívrstvá stěrka na bázi metakrylátových pryskyřic se vsypem v tloušťce 4mm, přímopojížděný a přímopochozí systém, který kombinuje hydroizolaci a obrusnou vrstvu, 100 % účinná hydroizolace, normová odolnost proti smyku, podklad ocel a beton</t>
  </si>
  <si>
    <t>767000R02</t>
  </si>
  <si>
    <t>740000R02</t>
  </si>
  <si>
    <t>DOPRAVNÍ ZAŘÍZENÍ - AUTOJEŘÁBY</t>
  </si>
  <si>
    <t>OSTATNÍ POŽADAVKY - HLAVNÍ MOSTNÍ PROHLÍDKA</t>
  </si>
  <si>
    <t>Lávka</t>
  </si>
  <si>
    <t>OSTATNÍ POŽADAVKY - GEODETICKÉ ZAMĚŘENÍ</t>
  </si>
  <si>
    <t>02911R01</t>
  </si>
  <si>
    <t>422170R05</t>
  </si>
  <si>
    <t>- plocha příčného řezu rozebrání 4,0m2,dl.11m,
- zpětné vyzdění pouze čelních kamenů+beton. zálivka za kameny v místě před novou opěrou
- zbylý materiál bude použit pro zřízení rovnaniny za čelními kameny na obou bocích nové opěry
- jako čelní kameny budou použity i kameny původní opěry (se sjednoceným sklonem zárubní zdi)</t>
  </si>
  <si>
    <t>DYNAMOMETR PRO MĚŘENÍ NAPÍNACÍ SÍLY V KOTVĚ V PRŮBĚHU ŽIVOTNOSTI KONSTRUKCE</t>
  </si>
  <si>
    <t>PROTIKOROZNÍ OCHRANA OCELOVÝCH KONSTRUKCÍ</t>
  </si>
  <si>
    <t>PODBITÍ PRAŽCE</t>
  </si>
  <si>
    <t>549530</t>
  </si>
  <si>
    <t>1. Položka obsahuje:
– lokální podbití pražce
– příplatky za ztížené podmínky při práci v koleji, např. překážky po stranách koleje, práci v tunelu apod.
2. Položka neobsahuje:
– případné doplnění štěrkového lože
3. Způsob měření:
Udává se počet kusů kompletní konstrukce nebo práce.</t>
  </si>
  <si>
    <t>OTSKP-ŽS 2013</t>
  </si>
  <si>
    <t>OTSKP-SPK 2015</t>
  </si>
  <si>
    <t>932111</t>
  </si>
  <si>
    <t>932112</t>
  </si>
  <si>
    <t>položka bude čerpána s ohledem na sled prací koordinovaných staveb</t>
  </si>
  <si>
    <t>vytyčení, vykopání, dočasné přeložení a následné uložení metalických podzemních kabelů ČD-T do původní trasy: na jižní straně vedle VB v délce 50m, hl.cca 1,0, dočasné přeložení na povrch a ochránění v dřevěném truhlíku, v místě provizorního nájezdu budou dočasně přeložené kabely ochráněny v ocelové chráničce pod povrchem</t>
  </si>
  <si>
    <t>(pouze pokud bude v provozu, v rámci koordinované stavby ŽST bude demontováno)</t>
  </si>
  <si>
    <t>sever.strana, zřízení plošiny pro vrtání zápor a kotevních mikropilot pažící stěny, včetně zhutnění násypové části na 95% PS</t>
  </si>
  <si>
    <t>sever.strana, vrty pro zápory: 12*6,8m+2*7,3m+2*7,8m (40% v kamenné rovanině,IV.třída, zbytek II.třída)</t>
  </si>
  <si>
    <t>sever.strana, vrty pro zápory: 12*6,8M+2*7,3M+2*7,8M (40% v kamenné rovanině,IV.třída, zbytek II.třída)</t>
  </si>
  <si>
    <t>sever.strana, 31*11ks: 40/150/950
sever.strana, 2*27ks: 40/150/1070
sever.strana, 2*27ks: 40/150/1150</t>
  </si>
  <si>
    <t>sever.strana, kotvy pažící stěny, dl.kořene 3m, TR 108/16, 4ks*9m
sever.strana, šikmé mikropiloty, dl.kořene 6m, TR 108/16, 8ks*12m
sever.strana, svislé mikropiloty (úklon do 5 st.), dl.kořene 6m, TR 108/16, 2x7ks*12m</t>
  </si>
  <si>
    <t>MOST PROTIDOTYKOVÁ ZÁBRANA TRAKČ VEDENÍ ŠTÍTEM - ZŘÍZ S DOD</t>
  </si>
  <si>
    <t>MOST PROTIDOTYKOVÁ ZÁBRANA TRAKČ VEDENÍ ŠTÍTEM - DEMONTÁŽ</t>
  </si>
  <si>
    <t>348942R01</t>
  </si>
  <si>
    <t>171101</t>
  </si>
  <si>
    <t>ULOŽENÍ SYPANINY DO NÁSYPŮ SE ZHUTNĚNÍM DO 95% PS</t>
  </si>
  <si>
    <t>ULOŽENÍ SYPANINY DO NÁSYPŮ Z NAKUPOVANÝCH MATERIÁLŮ</t>
  </si>
  <si>
    <t>17180</t>
  </si>
  <si>
    <t>rozšíření pracovní plošiny na jižní straně,nakupovaný materiál, na zhutněnou sypaninu budou uloženy žb. panely (vykázány samostatně)</t>
  </si>
  <si>
    <t>58301</t>
  </si>
  <si>
    <t>KRYT ZE SINIČNÍCH DÍLCŮ (PANELŮ) TL 150MM</t>
  </si>
  <si>
    <t>úprava podloží pod panely:
             štěrk tl.50mm-frakce 4-8mm, hutnit minimálně na Id=0,9 Edef=100MPa
             štěrk tl.100mm-frakce 8-16mm, hutnit minimálně na Id=0,9 Edef=100MPa
             minimální únosnost pláně: Rdt=150kPa</t>
  </si>
  <si>
    <t>11346</t>
  </si>
  <si>
    <t>ODSTRANĚNÍ KRYTU VOZOVEK ZE SILNIČ DÍLCŮ (PANELŮ) VČET PODKL</t>
  </si>
  <si>
    <t>odstranění pol.č. 58301 včetně štěrkového podkladu, celk. tloušťka panely+štěrková lože=300mm, silniční panely odvézt do skladu investora, štěrkové lože použít na drenážní zásypy základů, zhotovitel si stanoví a ocení do položky vlastní vzdálenost</t>
  </si>
  <si>
    <t>PRAŽCOVÁ ROVNANINA, ZŘÍZENÍ A DEMONTÁŽ</t>
  </si>
  <si>
    <t>463210R01</t>
  </si>
  <si>
    <t>96618</t>
  </si>
  <si>
    <t>96615</t>
  </si>
  <si>
    <t>BOURÁNÍ KONSTRUKCÍ Z PROSTÉHO BETONU</t>
  </si>
  <si>
    <t>odstranění betonového základu stávajícího příhradového stožáru, 1,2m*1,5m, hl. 1,7m, 1,2*1,5*1,7=3,060</t>
  </si>
  <si>
    <t>Posun provizorní staveništní buňky s dočasnými kabelovými rozvody koordinované stavby "modernizace žst"</t>
  </si>
  <si>
    <t>93151</t>
  </si>
  <si>
    <t>MOSTNÍ ZÁVĚRY POVRCHOVÉ POSUN DO 60MM</t>
  </si>
  <si>
    <t>vnitřní konstrukce ze žárového zinku, vnější pochozí povrchy z nerezové ocele, vyměnitelná vložka z umělého kaučuku + pojistná hydroizolace, nerezový spojovací materiál</t>
  </si>
  <si>
    <t>936531</t>
  </si>
  <si>
    <t>MOSTNÍ ODVODŇOVACÍ SOUPRAVA 300/300</t>
  </si>
  <si>
    <t>lávkový odvodňovač v mostovce</t>
  </si>
  <si>
    <t>SPADIŠTĚ KANALIZAČNÍ NA POTRUBÍ DN DO 300MM</t>
  </si>
  <si>
    <t>896415R01</t>
  </si>
  <si>
    <t>TRUBNÍ SYSTÉM PRO ODVODNĚNÍ MOSTNÍCH OBJEKTŮ</t>
  </si>
  <si>
    <t>OCHRANA TRUBNÍHO SYSTÉMU PRO ODVODNĚNÍ MOSTNÍCH OBJEKTŮ NAD KOLEJEMI PROTI VYSOKÝM TEPLOTÁM</t>
  </si>
  <si>
    <t>936530R02</t>
  </si>
  <si>
    <t>424943R01</t>
  </si>
  <si>
    <t>424431R01</t>
  </si>
  <si>
    <t>MONITORING NAPĚTÍ OCELOVÝCH KONSTRUKCÍ KRÁTKODOBÝ</t>
  </si>
  <si>
    <t>tenzometry na závěsech pro vyhodnocení napětí ve všech fázích výstavbu a při zatěžovací zkoušce
tenzometry na obou patách vetknutého oblouku pro sledovanámí napětí na tažené a tlačené pásnici ve všech fázích výstavbu a při zatěžovací zkoušce</t>
  </si>
  <si>
    <t>36+2*2ks</t>
  </si>
  <si>
    <t>93311</t>
  </si>
  <si>
    <t>87444</t>
  </si>
  <si>
    <t>kanalizační propojení mezi šachtou u výtahu a šachtou se spádištěm</t>
  </si>
  <si>
    <t>POTRUBÍ Z TRUB PLASTOVÝCH ODPADNÍCH DN DO 250MM</t>
  </si>
  <si>
    <t>včetně vodorovné dopravy po staveništi a dopravy přebytečné zeminy do zemníku, včetně případného pažení v místě buňky s kabely</t>
  </si>
  <si>
    <t>panely 3x2m - 58ks, únosnost 20t (kolový tlak 50kN)</t>
  </si>
  <si>
    <t>465512</t>
  </si>
  <si>
    <t xml:space="preserve">dlažba před lícem severní opěry, tl.včetně lože 200mm, plocha 0,6*5,0m </t>
  </si>
  <si>
    <t>DLAŽBY Z LOMOVÉHO KAMENE NA MC</t>
  </si>
  <si>
    <t>451522</t>
  </si>
  <si>
    <t>VÝPLŇ VRSTVY Z KAMENIVA DRCENÉHO, INDEX ZHUTNĚNÍ ID DO 0,8</t>
  </si>
  <si>
    <t xml:space="preserve">podkladní vrstva pod dlažbu před lícem severní opěry, tl.150mm, plocha 0,7*5,1m </t>
  </si>
  <si>
    <t>9111A1</t>
  </si>
  <si>
    <t>ZÁBRADLÍ SILNIČNÍ S VODOR MADLY - DODÁVKA A MONTÁŽ</t>
  </si>
  <si>
    <t>ŘÍMSY Z DÍLCŮ ŽELEZOBETONOVÝCH</t>
  </si>
  <si>
    <t>31712</t>
  </si>
  <si>
    <t>prefabrikovaná zákrytová deska zárubní zdi, šířka 0,5m,dl.12m,tl.60mm, včetně usazení do MC</t>
  </si>
  <si>
    <t>nad zárubní zdí, dvoumadlové zábradlí, sloupky do betonových bloků</t>
  </si>
  <si>
    <t>OCELOVÁ KONSTRUKCE LÁVKY-NEREZOVÉ ČÁSTI 1.4301</t>
  </si>
  <si>
    <t>424945R02</t>
  </si>
  <si>
    <t>severní strana: dl. 3,7m
před výtahem na I. nástupiště: dl.2.3m
spojovací krček k výtahu na II.nástupiště: 2x2.1m</t>
  </si>
  <si>
    <t>nerez válcovaný tahokov 1.4301, tloušťka plechu 2mm (typ TR 42/12)</t>
  </si>
  <si>
    <t xml:space="preserve">NÁTĚRY BETON KONSTR </t>
  </si>
  <si>
    <t>783800R01</t>
  </si>
  <si>
    <t>NÁTĚRY BETON KONSTR TYP S5 (OS-DI)</t>
  </si>
  <si>
    <t>Náhrady za výluky a pomalé jízdy na trati SŽDC - rozsah dle postupu výstavby zvoleného zhotovitelem, předběžný odhad viz harmonogram výstavby a plán výluk</t>
  </si>
  <si>
    <t>položka zahrnuje:
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
položka nezahrnuje:
- podpěrné IPE nosníky vykázány samostatně</t>
  </si>
  <si>
    <t>78384</t>
  </si>
  <si>
    <t>NEPOCHOZÍ IZOLACE OCELOVÝCH A BETONOVÝCH PLOH</t>
  </si>
  <si>
    <t>severní strana, paty oblouků, kompletní systém ochranného nátěru: 1.7m2</t>
  </si>
  <si>
    <t>sever.strana, vrty pro kotevní mikropiloty M1-M4 pažící stěny: 4*8,8m, tř.I-dl.7,3m
sever.strana, vrty pro mikropiloty M5-M12: 8ks*celk.dl.10,9m, tř.I-dl.5,3m
sever.strana, vrty pro mikropiloty M13-M26: 2x7ks*celk.dl.11,9m, tř..I-dl.6,0m</t>
  </si>
  <si>
    <t>sever.strana, vrty pro kotevní mikropiloty M1-M4 pažící stěny: 4*8,8m, tř.III-dl.1,5m
sever.strana, vrty pro mikropiloty M5-M12: 8ks*celk.dl.10,9m, tř.III-dl.5,6m
sever.strana, vrty pro mikropiloty M13-M26: 2x7ks*celk.dl.11,9m, tř.III-dl.1,2m</t>
  </si>
  <si>
    <t>sever.strana, vrty pro mikropiloty M13-M26: 2x7ks*celk.dl.11,9m, tř.IV-dl.4,7m (v zárubní zdi a kamenné rovnanině)</t>
  </si>
  <si>
    <t>sever.strana, zápory Z1-Z16, viz výkres</t>
  </si>
  <si>
    <t>severní strana, C25/30 XC2 XF1, 4*11,07*0,15=6,7M3</t>
  </si>
  <si>
    <t>jižní strana,pod základem lávky C25/30 XC2 XF1, 4,9*10,4*0,15=7,7M3</t>
  </si>
  <si>
    <t>jižní strana,pod kanalizačními šachtami C25/30 XC2 XF1, (1,6*1,6+1,2*1,2)*0,15=0,6M3</t>
  </si>
  <si>
    <t>jižní strana:
-hlavní výkop-půdorys výkopu v polovině hloubky výkopu:153m2, střední hloubka výkopu: 1,6m, 153*1,6=244,8m3
-výkop pro kanalizační šachtu, včetně rozpěrného pažení, šířka 2,7m, dl.3,5m, hl.4,1m: 2,7*3,5*4,1=38,8m3</t>
  </si>
  <si>
    <t>jižní základový blok-viz výkres tvaru: 59.6m3</t>
  </si>
  <si>
    <t>severní strana, mezerovitý beton, dl.11.1m, š.1,0m, v.3m=11,1*1*3=33,3m3</t>
  </si>
  <si>
    <t>severní strana, zásyp za závěrnou zdí ze stávajícího materiálu (možná úprava dle technické specifikace položky), plocha příčného řezu 1,42m2, dl.11.1m = 1,42*11,1=15,8m3</t>
  </si>
  <si>
    <t xml:space="preserve">jižní strana, zásyp stavební jámy (možná úprava dle technické specifikace položky), výkop mínus objem základů lávky a výtahu=283,6-100=183,6M3 </t>
  </si>
  <si>
    <t>před nákupem beton.svodidel oslovit investora, zda nemá vlasní k dispozici</t>
  </si>
  <si>
    <t>zvláštní požadavek na vysoce kvalitní překližku pro hladký povrch podhledu betonu, překližky z křížem lepených březových dýh a oboustranně potažené zesíleným povlakem z fenolové pryskyřice, všechny hrany upravené, všechny spoje utěsněny, aby nedošlo k úniku cementového mléka z betonové směsi (trakční vedení pod konstrukcí bednění), požadované rozměry bednící desky 3000x1500x21 mm, plocha 232m2</t>
  </si>
  <si>
    <t>připojení odvodnění dna prohlubně do kanalizace lávky</t>
  </si>
  <si>
    <t>výztuž žb. mostovky obloukové části B500B</t>
  </si>
  <si>
    <t>422325R01</t>
  </si>
  <si>
    <t>MOSTNÍ NOSNÉ TRÁMOVÉ KONSTRUKCE ZE ŽELEZOBETONU C30/37</t>
  </si>
  <si>
    <t>422423R01</t>
  </si>
  <si>
    <t>dobetonování patek oblouků
jižní strana: 7.7m3
severní strana:1.2m3</t>
  </si>
  <si>
    <t>VÝZTUŽ MOSTNÍ TRÁMOVÉ KONSTRUKCE Z OCELI 10505</t>
  </si>
  <si>
    <t>721173R01</t>
  </si>
  <si>
    <t>87614</t>
  </si>
  <si>
    <t>osazení plastových chrániček DN 40 do bednění mostovky pro SO 451,452,453+1 x rezerva, 4*60m</t>
  </si>
  <si>
    <t>CHRÁNIČKY Z TRUB PLAST DN DO 40MM</t>
  </si>
  <si>
    <t>výztuž dobetonováných patek oblouků B500B</t>
  </si>
  <si>
    <t>Technické specifikace položek z ceníků OTSKP-SPK a OTSKP-ŽS viz www.tridniky.cz a www.sfdi.cz</t>
  </si>
  <si>
    <t>sever.strana, zárubní zeď v místě výkopu základu, čelní kameny budou očíslovány</t>
  </si>
  <si>
    <t>Statická zatěžovací zkouška zhutnění deskou (nutnost protizávaže min.10t), kontrola zhutnění pod jižním základovým blokem z předchozí výstavby nové výpravní budovy</t>
  </si>
  <si>
    <t>na schodišti, včetně přivaření k OK</t>
  </si>
  <si>
    <t>jižní strana, piloty pr.880mm, dl.10m, 10ks, včetně zkoušky integrity všech pilot</t>
  </si>
  <si>
    <t>položka bude čerpána s ohledem na sled prací koordinovaných staveb, včetně PKO</t>
  </si>
  <si>
    <t>sever.strana, plocha příčného řezu za čelními kameny zárubní zdi=10,4m2,dl.11m, přebytečný výkopek převézt na jižní stranu pro zřízení části dočasné plošiny, 10,4*11=114,4m3</t>
  </si>
  <si>
    <t>rozšíření pracovní plošiny na jižní straně, materiál ze severní strany, včetně dopravy ze severní strany na jižní, na zhutněnou sypaninu budou uloženy žb. panely (vykázány samostatně), 114,4-15,8=98,6m3</t>
  </si>
  <si>
    <t>celkový objem zřizovaného násypu=330m3 (odečtena kubatura převezeného výkopku ze severní strany), 330-98,6=231,4m3</t>
  </si>
  <si>
    <t>jižní strana, odstranění kompletního násypu pracovní plošiny, zhotovitel si stanoví a ocení do položky vlastní vzdálenost</t>
  </si>
  <si>
    <t>jižní strana, odstranění pracovní plošiny: 330m3*1,9t/m3</t>
  </si>
  <si>
    <t>Úprava povrchů, podlahy, výplně otvorů</t>
  </si>
  <si>
    <t>Řazení položek dle postupu prací</t>
  </si>
  <si>
    <t>odhad 180 kg/m3</t>
  </si>
  <si>
    <t>ODSTRANĚNÍ KRYTU CHODNÍKŮ Z DLAŽDIC VČETNĚ PODKLADU</t>
  </si>
  <si>
    <t>ODSTRAN KRYTU VOZ A CHOD Z BETONU VČET PODKLADU</t>
  </si>
  <si>
    <t>výkop na pláň, plocha 120m2, tl.400mm</t>
  </si>
  <si>
    <t>beton, zámková dlažba, 2.3t/m3, (7,95+3,20)*2,3= 25.7t
přebytečná zemina, 1.9t/m3, 48*1,9=91,2t</t>
  </si>
  <si>
    <t>ROZPROSTŘENÍ ORNICE V ROVINĚ V TL DO 0,15M</t>
  </si>
  <si>
    <t xml:space="preserve">POPLATKY
</t>
  </si>
  <si>
    <t>Náhrady za výluky a pomalé jízdy na trati SŽDC - rozsah dle postupu výstavby zvoleného zhotovitelem</t>
  </si>
  <si>
    <t xml:space="preserve">ochranná vrstva ŠDB, tl.150mm, plocha 83,8m2, 0,15*83,8=12,57m3
podkladní vrstva ŠDA,tl.150mm, plocha 83,8m2, 0,15*83,8=12,57m3
</t>
  </si>
  <si>
    <r>
      <t xml:space="preserve">náhradní průměr válce 300mm (odpovídá max.70l injekční směsi na bm), délka 4.5m, čelní plocha pro zpevnění 3*10=30m2, 1ks/1m2, včetně vloženého ocel.trnu </t>
    </r>
    <r>
      <rPr>
        <sz val="10"/>
        <rFont val="Symbol"/>
        <family val="1"/>
      </rPr>
      <t>f</t>
    </r>
    <r>
      <rPr>
        <sz val="10"/>
        <rFont val="Arial"/>
        <family val="2"/>
      </rPr>
      <t>16,dl.4m, 3.14*0.50*0.50/4*4,5*30ks</t>
    </r>
  </si>
  <si>
    <r>
      <t xml:space="preserve">ochranný návlek na suchý zip na odvodňovací trubní vedení, pouze nad kolejemi v délce protidotykových zábran, teplotní odolnost min. 150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 9 x 4m, včetně montáže</t>
    </r>
  </si>
  <si>
    <r>
      <t>ochranný nátěrový systém podhledu mostovky, musí odolat teplotnímu (do 150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 a chemickému (výfukové plyny) namáhání z okolního prostředí, propustný pro vodní páry, nátěr.systém určený pro inženýrské konstrukce (mosty,…)</t>
    </r>
  </si>
  <si>
    <t>zásyp po žb.základech, materiál použit z výkopů stavby, 1,2*1,45*3,5*6</t>
  </si>
  <si>
    <t>ŘEZÁNÍ OCELOVÝCH PROFILŮ PRŮŘEZU PŘES 700MM2</t>
  </si>
  <si>
    <t>každá podpěra sestává ze dvou stojek, 6 podpěr, 2*6</t>
  </si>
  <si>
    <t>BOURÁNÍ KONSTRUKCÍ ZE DŘEVA</t>
  </si>
  <si>
    <t>rozebrání dřevěné mostovky, mostovka je zánovní, bude uložena do městského skladu
příčníky, 0,1*0,14*2,27, 73ks
podélníky, 0,1*,14*(12+20+20+15)*4
podlahové fošny, 0,04*2,27*(12+20+20+15)
nástupnice schodišťového pole, 0,04*0,14*1,16, 37*2*2ks</t>
  </si>
  <si>
    <t>BOURÁNÍ KONSTRUKCÍ ZE ŽELEZOBETONU</t>
  </si>
  <si>
    <t>VYBOURÁNÍ ČÁSTÍ KONSTRUKCÍ KAMENNÝCH NA MC</t>
  </si>
  <si>
    <t>vybourání schodiště a podest na severní straně, stupně 300x170x2m, 7ks + 3 podesty délky 2x600+1000, tl.100mm, včetně obrubníků, =7*0,17*0,3*2+0,1*(0,6+0,6+1)*2</t>
  </si>
  <si>
    <t>dřík severní opěry, odhad 150 kg/m3
závěrná zídka a křídla, odhad 200 kg/m3
=150/1000*37,6+200/1000*5,0</t>
  </si>
  <si>
    <t>SO 101 Úpravy předpolí, vypracoval Ing. Zoufálek</t>
  </si>
  <si>
    <t>SO 102 Komunikace k trafostanici, vypracoval Ing. Zoufálek</t>
  </si>
  <si>
    <t>SO 201 Lávka, vypracoval Ing. Zoufálek</t>
  </si>
  <si>
    <t>SO 202 Demolice lávky, vypracoval Ing. Zoufálek</t>
  </si>
  <si>
    <t>790000R01</t>
  </si>
  <si>
    <t>Popis provozního souboru včetně specifikací viz technická zpráva.</t>
  </si>
  <si>
    <t>Technické specifikace položek z ceníků OTSKP-SPK viz www.tridniky.cz</t>
  </si>
  <si>
    <t>Cena bez DPH:</t>
  </si>
  <si>
    <t>Cena s DPH:</t>
  </si>
  <si>
    <t>DPH:</t>
  </si>
  <si>
    <t>SO/PS</t>
  </si>
  <si>
    <t>Název SO / PS</t>
  </si>
  <si>
    <t>CENA s DPH</t>
  </si>
  <si>
    <t>CENA bez DPH</t>
  </si>
  <si>
    <t>REKAPITULACE PO OBJEKTECH</t>
  </si>
  <si>
    <t>DPH (21%)</t>
  </si>
  <si>
    <t>Soupis položek</t>
  </si>
  <si>
    <t>p.č.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</si>
  <si>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</si>
  <si>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</si>
  <si>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</si>
  <si>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</si>
  <si>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</si>
  <si>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</si>
  <si>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</si>
  <si>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</si>
  <si>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VKP</t>
  </si>
  <si>
    <t>TC</t>
  </si>
  <si>
    <t>kap.</t>
  </si>
  <si>
    <t>Dodávky zařízení</t>
  </si>
  <si>
    <t>ks</t>
  </si>
  <si>
    <t>S</t>
  </si>
  <si>
    <t>*</t>
  </si>
  <si>
    <t>DE</t>
  </si>
  <si>
    <t>součet</t>
  </si>
  <si>
    <t>Materiál elektromontážní</t>
  </si>
  <si>
    <t>ME</t>
  </si>
  <si>
    <t>Z</t>
  </si>
  <si>
    <t>Materiál zemní+stavební</t>
  </si>
  <si>
    <t>MZ</t>
  </si>
  <si>
    <t>štěrkopísek 0-16mm</t>
  </si>
  <si>
    <t>beton B10</t>
  </si>
  <si>
    <t>roura PVC pr.110x3,2mm</t>
  </si>
  <si>
    <t>písek kopaný 0-2mm</t>
  </si>
  <si>
    <t>výstražná fólie šířka 0,34m</t>
  </si>
  <si>
    <t>Elektromontáže</t>
  </si>
  <si>
    <t>CE</t>
  </si>
  <si>
    <t>kabel(-CYKY) volně uložený do 3x6/4x4/7x2,5</t>
  </si>
  <si>
    <t>CZ</t>
  </si>
  <si>
    <t>odvoz zeminy do 10km vč.poplatku za skládku</t>
  </si>
  <si>
    <t>kabelový prostup z roury plast pr.110mm</t>
  </si>
  <si>
    <t>provizorní úprava terénu třída zeminy 3</t>
  </si>
  <si>
    <t>podklad nebo zához štěrkopískem</t>
  </si>
  <si>
    <t>podklad a obetonování chrániček</t>
  </si>
  <si>
    <t>výstražná fólie šířka nad 30cm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</si>
  <si>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</si>
  <si>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</si>
  <si>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</si>
  <si>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</si>
  <si>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</si>
  <si>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</si>
  <si>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</si>
  <si>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</si>
  <si>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</si>
  <si>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</si>
  <si>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zemní+stavební</t>
  </si>
  <si>
    <t>elektromontáže</t>
  </si>
  <si>
    <t>zemní práce</t>
  </si>
  <si>
    <t>PPV pro elektromontáže</t>
  </si>
  <si>
    <t>PPV pro zemní práce</t>
  </si>
  <si>
    <t>dodávky celkem</t>
  </si>
  <si>
    <t>materiál+výkony celkem</t>
  </si>
  <si>
    <t>NÁKLADY hl.III celkem</t>
  </si>
  <si>
    <t>zařízení staveniště</t>
  </si>
  <si>
    <t>PV/ narušení dopravy</t>
  </si>
  <si>
    <t>NÁKLADY hl.VI celkem</t>
  </si>
  <si>
    <t>kompletační činnost</t>
  </si>
  <si>
    <t>revize</t>
  </si>
  <si>
    <t>investorská činnost</t>
  </si>
  <si>
    <t>NÁKLADY hl.XI celkem</t>
  </si>
  <si>
    <t>projekty</t>
  </si>
  <si>
    <t>NÁKLADY hl.I celkem</t>
  </si>
  <si>
    <t>CENA bez DPH (Kč)</t>
  </si>
  <si>
    <t>Cenová soustava: ÚRS (Databáze 2016)</t>
  </si>
  <si>
    <t>PS 701  Výtah-technologie, vypracoval Ing. Zoufálek</t>
  </si>
  <si>
    <t>PS 456  Monitorovací systém vstupů do výtahu, vypracoval Ing. Zoufálek</t>
  </si>
  <si>
    <t>Odstranění sloupu osvětlení č.25 v kolejišti</t>
  </si>
  <si>
    <t>SO 404 Odstranění sloupu osvětlení č.25 v kolejišti, vypracoval Ing. Zoufálek</t>
  </si>
  <si>
    <t>DEMONTÁŽ OSVĚTLOVACÍHO STOŽÁRU DRÁŽNÍHO VÝŠKY DO 15 M</t>
  </si>
  <si>
    <t>743Z12</t>
  </si>
  <si>
    <t>743Z31</t>
  </si>
  <si>
    <t>743Z35</t>
  </si>
  <si>
    <t>DEMONTÁŽ ELEKTROVÝZBROJE OSVĚTLOVACÍHO STOŽÁRU VÝŠKY DO 15 M5 M</t>
  </si>
  <si>
    <t>DEMONTÁŽ SVÍTIDLA Z OSVĚTLOVACÍHO STOŽÁRU VÝŠKY DO 15 M</t>
  </si>
  <si>
    <t>Popis viz technická zpráva.</t>
  </si>
  <si>
    <t>750000R01</t>
  </si>
  <si>
    <t>Propojení IP kamery výtahu s dozorovým počítačem v místnosti ČD-centra do připravené chráničky zřizované u stavby "Modernizace žst. Karlovy Vary-staniční část". Délka cca 50m. Bude upřesněno v rámci postupu prací koordinovaných staveb. Další popis provozního souboru viz technická zpráva.</t>
  </si>
  <si>
    <t>skříň+pilíř PPS 3x160A(SS100/NKE1P) příp +Vtřm+Psv</t>
  </si>
  <si>
    <t>základ pilíře betonový(plastový) komplet  č.v.8080</t>
  </si>
  <si>
    <t>kabel CYKY-J 4x16</t>
  </si>
  <si>
    <t>pojistková patrona PNA000(-40A)gG</t>
  </si>
  <si>
    <t>10.054.34</t>
  </si>
  <si>
    <t>Skříň ER112 v pilíři</t>
  </si>
  <si>
    <t>jistič PL6 3pól/ch.C/6kA 50A</t>
  </si>
  <si>
    <t>jistič PL6 3pól/ch.C/6kA 20A</t>
  </si>
  <si>
    <t>vedení FeZn 30/4 (0,96kg/m)</t>
  </si>
  <si>
    <t>svorka pásku zemnící SR2b 4šrouby FeZn</t>
  </si>
  <si>
    <t>svorka pásku drátu zemnící SR3c 2šrouby FeZn</t>
  </si>
  <si>
    <t>krycí deska plastová 50/30/1,2cm</t>
  </si>
  <si>
    <t>asfalt 80</t>
  </si>
  <si>
    <t>kabel Cu(-1kV CYKY) volně uložený do 3x35/4x25</t>
  </si>
  <si>
    <t>ukončení v rozvaděči vč.zapojení vodiče do 16mm2</t>
  </si>
  <si>
    <t>patrona nožové pojistky do 630A</t>
  </si>
  <si>
    <t>pilíř plast 1-dílný pro kabelovou skříň</t>
  </si>
  <si>
    <t>jistič vč.zapojení 3pól/63A</t>
  </si>
  <si>
    <t>jistič vč.zapojení 3pól/25A</t>
  </si>
  <si>
    <t>uzemň.vedení v zemi/město úplná mtž FeZn do 120mm2</t>
  </si>
  <si>
    <t>ochrana zemní svorky asfaltovým nátěrem</t>
  </si>
  <si>
    <t>výkop kabel.rýhy šířka 10/hloubka 10cm tz.3/ko1.2</t>
  </si>
  <si>
    <t>zához kabelové rýhy šířka 10/hloubka 10cm tz.3</t>
  </si>
  <si>
    <t>výkop kabel.rýhy šířka 65/hloubka 120cm tz.3/ko1.2</t>
  </si>
  <si>
    <t>výkop kabel.rýhy šířka 35/hloubka 80cm tz.3/ko1.2</t>
  </si>
  <si>
    <t>kabel.lože písek 2x10-15cm plastdesky50/30 na30cm</t>
  </si>
  <si>
    <t>zához kabelové rýhy šířka 35/hloubka 80cm tz.3</t>
  </si>
  <si>
    <t>Ochranné a pracovní pomůcky</t>
  </si>
  <si>
    <t>držák pojistek D1PH</t>
  </si>
  <si>
    <t>OP</t>
  </si>
  <si>
    <t>provozní vlivy</t>
  </si>
  <si>
    <t>ochranné a pracovní pomůcky</t>
  </si>
  <si>
    <t>skříň+pilíř PRS2/6x400A+1p (SR202/NKW11) rozp</t>
  </si>
  <si>
    <t>jistič 315A</t>
  </si>
  <si>
    <t>kabel 1kV AYKY 3x240+120</t>
  </si>
  <si>
    <t>kabelové oko Al lisovací 240x12 ALU</t>
  </si>
  <si>
    <t>kabelové oko Al lisovací 120x12 ALU</t>
  </si>
  <si>
    <t>kabel CYKY 3x4</t>
  </si>
  <si>
    <t>pojistková patrona PNA2(-315A)gG</t>
  </si>
  <si>
    <t>kabel Al(-1kV AYKY) volně uložený do 3x240+120</t>
  </si>
  <si>
    <t>ukončení v rozvaděči vč.zapojení vodiče do 240mm2</t>
  </si>
  <si>
    <t>ukončení v rozvaděči vč.zapojení vodiče do 120mm2</t>
  </si>
  <si>
    <t>ukončení v rozvaděči vč.zapojení vodiče do 6mm2</t>
  </si>
  <si>
    <t>pilíř plast 2-dílný pro kabelovou skříň</t>
  </si>
  <si>
    <t>jistič 3pól bez zapojení do 630A</t>
  </si>
  <si>
    <t>SO402 - přípojka NN k výtahu, vypracoval Ing. Franěk</t>
  </si>
  <si>
    <t>SO 403 - Provizorní a definitivní přeložka, vypracoval Ing. Franěk</t>
  </si>
  <si>
    <t>SO 701  Výtah, vypracoval Ing. Zoufálek</t>
  </si>
  <si>
    <t>zahrnuto u SO 201</t>
  </si>
  <si>
    <t>odvodnění kolem podkladního betonu základu,napojené do kanalizace lávky</t>
  </si>
  <si>
    <t>základový blok výtahové věže, včetně potřebných těsnících vložek proti netlakové vodě</t>
  </si>
  <si>
    <t>výztuž základového bloku výtahové věže, odhad 150 kg/m3</t>
  </si>
  <si>
    <t>STĚNY A PŘÍČKY VÝPLŇ A ODDĚL ZE ŽELBET DO C30/37 (B37)</t>
  </si>
  <si>
    <t>VÝZTUŽ STĚN A PŘÍČEK VÝPLŇ A ODDĚL Z OCELI 10505</t>
  </si>
  <si>
    <t>tubus výtahové věže, odhad 50kg/m3</t>
  </si>
  <si>
    <t>VÝZTUŽ STĚN A PŘÍČEK VÝPLŇ A ODDĚL Z KARI SÍTÍ</t>
  </si>
  <si>
    <t>tubus výtahové věže, odhad 150kg/m3</t>
  </si>
  <si>
    <t>VYROVNÁVACÍ A SPÁDOVÝ PROSTÝ BETON C16/20</t>
  </si>
  <si>
    <t>ochrana izolace na vodorovných částech základu, 0,9+0,6</t>
  </si>
  <si>
    <t>podkladní beton základového bloku</t>
  </si>
  <si>
    <t>VYROVNÁVACÍ A SPÁDOVÝ PROSTÝ BETON C25/30</t>
  </si>
  <si>
    <t>spádový beton dna prohlubně výtahové věže</t>
  </si>
  <si>
    <t>Ostatní práce</t>
  </si>
  <si>
    <t>Sjednocující nátěr na vnitnří stěny a horní povrchy stěn žb. části věže</t>
  </si>
  <si>
    <t>chodníkový obrubník kolem výtahové věže 80/200 do beton.lože C16/20</t>
  </si>
  <si>
    <t>uložení přebytečného výkopku do zemníku, 299,8-107,1=192,7m3</t>
  </si>
  <si>
    <t>ZÁBRADLÍ A ZÁBRADEL ZÍDKY Z OCELI ŘADY 37</t>
  </si>
  <si>
    <t>46511R01</t>
  </si>
  <si>
    <t>VÝZTUŽ SCHODIŠŤ KONSTR Z BETONÁŘSKÉ OCELI 10505</t>
  </si>
  <si>
    <t>před nákupem silničních panelů oslovit investora, zda nemá vlastní panely k dispozici</t>
  </si>
  <si>
    <t>schod.deska pod prefabrikovanými stupni, včetně bočních zídek a podkl.betonu
délka cca 13m, srovnaná tl.0,4m, šířka 3m (2 schodiště), =2*13*0,4*3</t>
  </si>
  <si>
    <t>150kg/m3, 150/1000*31,2=4,68</t>
  </si>
  <si>
    <t>Kolem rozptylového prostoru pod schodištěm lávky vedle VB: 90m
Kolem chodníkové rampy: 140m</t>
  </si>
  <si>
    <t>prvky bezbariérových úprav (signální pásy, varovné pásy,…) jsou započítány do plochy dlažby</t>
  </si>
  <si>
    <t>prvky bezbariérových úprav (signální pásy, varovné pásy) na ploše mostovky jsou započítány do plochy stěrkové izolace</t>
  </si>
  <si>
    <t>jižní strana, podkladní beton pod přesypanou zalomenou žb.monolitickou zárubní zdí v místě střetu kolektoru horkovodu se zemní rampou (viz koordinační situace), plocha 6m2,tl. 150mm</t>
  </si>
  <si>
    <t>18215</t>
  </si>
  <si>
    <t>ÚPRAVA POVRCHŮ SROVNÁNÍM ÚZEMÍ V TL DO 0,50M</t>
  </si>
  <si>
    <t>ÚPRAVA PODLOŽÍ VÁPNĚNÍM HL DO 0,5M</t>
  </si>
  <si>
    <t>21466</t>
  </si>
  <si>
    <t>ZDI OPĚRNÉ, ZÁRUBNÍ, NÁBŘEŽNÍ ZE ŽELEZOVÉHO BETONU DO C30/37 (B37)</t>
  </si>
  <si>
    <t>jižní strana, přesypaná zalomená žb.monolitická zárubní zeď v místě střetu kolektoru horkovodu se zemní rampou (viz koordinační situace), včetně izolace proti zemní vlhkosti, tl.300mm, dl.7+3,5m, výška průměrná 1,5m, (7+3,5)*1,5*0,3=4,725</t>
  </si>
  <si>
    <t>327325</t>
  </si>
  <si>
    <t>327365</t>
  </si>
  <si>
    <t>VÝZTUŽ ZDÍ OPĚRNÝCH, ZÁRUBNÍCH, NÁBŘEŽNÍCH Z OCELI 10505</t>
  </si>
  <si>
    <t>150kg/m3, 150/1000*4,725=0,709</t>
  </si>
  <si>
    <t>zhutněný zásyp lokálního výkopu kolem kolektoru horkovodu</t>
  </si>
  <si>
    <t>poplatek za uložení přebytečné zeminy do zemníku, 192.7m3, 1.9t/m3, 192,7*1,9=366,130</t>
  </si>
  <si>
    <t>násypová část rampy: 107,1m3, hutněno, Edef,min.= 45MPa</t>
  </si>
  <si>
    <t>Monitorovací systém vstupů do výtahu</t>
  </si>
  <si>
    <t>VRTY PRO KOTVENÍ A INJEKTÁŽ TŘ V NA POVRCHU D DO 25MM</t>
  </si>
  <si>
    <t>261513</t>
  </si>
  <si>
    <t>VRTY PRO KOTVENÍ A INJEKTÁŽ TŘ V NA POVRCHU D DO 16MM</t>
  </si>
  <si>
    <t>261512</t>
  </si>
  <si>
    <t>422170R01</t>
  </si>
  <si>
    <t>ZÁBRADLÍ - KOTEVNÍ PROSTŘEDKY</t>
  </si>
  <si>
    <t>včetně vlepení na bázi pryskyřice
nerez A2-70 (1.4301)
klobouková matice M16-DIN 1587, 5,20kg/cks, 114ks = 6kg
klobouková matice M12-DIN 1587, 2,81kg/cks, 114ks = 4kg
podložka M16-DIN 125, 1,13kg/cks, 114ks = 2kg
podložka M12-DIN 125, 0,63kg/cks, 114ks = 1kg
nízká matice M16-DIN 439, 2,05kg/cks, 114ks = 3kg
nízká matice M12-DIN 439, 1,04kg/cks, 114ks = 2kg
závit.tyč M16x170,DIN 976, 1,3kg/m, 114ks = 26kg
závit.tyč M12x160-DIN 976, 0.7kg/m, 114ks = 13kg</t>
  </si>
  <si>
    <t>průměr vrtu 14mm,kotvení zábradlí do žb.mostovky na obloukové části a na severní opěře, pro zadní šroub, 114ks, hl.120mm</t>
  </si>
  <si>
    <t>průměr vrtu 18mm, kotvení zábradlí do žb.mostovky na obloukové části a na severní opěře, pro přední šroub, 114ks, hl.120mm</t>
  </si>
  <si>
    <t>PP, DN 125, kompletní sestava včetně montáže, vodorovná i svislá část svodného potrubí (potrubí, kolena, spojky, spony, úchyty, čistící kusy, kompenzátory,…)</t>
  </si>
  <si>
    <t>lokální výkop kolem kolektoru horkovodu pro přesypanou zalomenou žb.monolitickou zárubní zeď v místě střetu kolektoru horkovodu se zemní rampou, 8*7*1,5=84</t>
  </si>
  <si>
    <t>schod.stupně 150/350-2,5m,28+28ks  (požadavky jako u velkoformátové betonové dlažby), 56*2,5*0,15*0,35</t>
  </si>
  <si>
    <t>574A43</t>
  </si>
  <si>
    <t>ASFALTOVÝ BETON PRO OBRUSNÉ VRSTVY ACO 11 TL. 50MM</t>
  </si>
  <si>
    <t>18222</t>
  </si>
  <si>
    <t>ROZPROSTŘENÍ ORNICE VE SVAHU V TL DO 0,15M</t>
  </si>
  <si>
    <t>plocha 530m2 viz objekt vegetačních úprav v místech setého trávníku, v místech záhonů je zahradní substrát pro záhony vykázán u SO801</t>
  </si>
  <si>
    <t>VYKOPÁVKY ZE ZEMNÍKŮ A SKLÁDEK TŘ. I, ODVOZ DO 12KM</t>
  </si>
  <si>
    <t>doprava chybějící ornice 530m2, tl.0,150m, 10*530*0,15</t>
  </si>
  <si>
    <t>014202</t>
  </si>
  <si>
    <t>POPLATKY ZA ZEMNÍK</t>
  </si>
  <si>
    <t>poplatky majiteli zemníku související s nákupem ornice, 79,5m3, 1.9t/m3, 79,5*1,9</t>
  </si>
  <si>
    <t>Vypracování realizační dokumentace stavby (RDS+VTD), průměrně 1,8% ceny díla</t>
  </si>
  <si>
    <t>trubkové zábradlí, dvě vodorovná madla, hmotnost 20 kg/m, sloupky po 1,5m, výška 900mm, včetně PKO (žárové zinkování+nátěry), včetně betonového základu, montáže: rampa 2*60m, schodiště 4x14m, hrana rozptylového prostoru 12m, hrana mezi přilehlým svahem rampy a nástupištěm 45m, pod nástupem na lávku 2x12m, 2*60+4*14+12+45+2*12</t>
  </si>
  <si>
    <t>Vypracování dokumentace skutečného provedení stavby (DSPS), průměrně 0,1% ceny díla</t>
  </si>
  <si>
    <t>stávající cesta k trafostanici ze silničních panelů tl.150mm, plocha 53m2, položku čerpat pouze v případě, že stavba nové výpravní budovy již cestu nedstranila</t>
  </si>
  <si>
    <t>Vypracování realizační dokumentace stavby (RDS), průměrně 1,8% ceny díla</t>
  </si>
  <si>
    <t>v tl.150mm v rozsahu pod novou příjezdovou komunikací, 83,8*0.15+20%</t>
  </si>
  <si>
    <t xml:space="preserve">sever.strana,osazení betonových svodidel ke kolejišti na severní straně, 36m podél poslední koleje (rub svodidla min. 3m od osy koleje), </t>
  </si>
  <si>
    <t>1. hlavní prohlídka</t>
  </si>
  <si>
    <t>odstranění stávajícího příhradového stožáru, na stožáru je umístěn optický kabel TV Imperium, veškeré náklady spojené s přeložením tohoto vedení nese majitel kabelu, hmotnost stožáru 2000kg</t>
  </si>
  <si>
    <t>sever.strana,vyrovnání svahu před rozprostřením ornice, 4mx13m</t>
  </si>
  <si>
    <t>zpevnění dosypané plochy a nájezdů na pracovní plošinu na jižní straně u výpravní budovy, viz příloha 5-Piloty,mikropiloty</t>
  </si>
  <si>
    <t>KOTEVNÍ PŘÍPRAVKY V ZÁKLADOVÝCH BLOCÍCH</t>
  </si>
  <si>
    <t>zabetonovaná ocelová konstrukce
jižní základ:odhad 1500kg, včetně spojovacích prostředků
severní základ:odhad 1000kg, včetně spojovacích prostředků</t>
  </si>
  <si>
    <t>2 ks včetně osazení a vyhodnocování výsledků (na okrajových kotvách jižního základového bloku), cenu poptat u specializovaných firem dle specifikace trvalé pramencové kotvy</t>
  </si>
  <si>
    <t>kanalizační šachta u napojení na stávající kanalizaci upravná pro napojení spadiště, zakázková výroba s čedičovou výstelkou, spádiště v samostatné položce</t>
  </si>
  <si>
    <t>pod rovnaninou pro zapatkování jeřábu na 16. koleji, patka 2 x 3x3m, délka úpravy 2x5m, 10/0,55=19ks, položka bude čerpána pouze v případě, že dojde ke směrové nebo výškové změně pod patkami jeřábu po odpatkování</t>
  </si>
  <si>
    <t>rovnanina 2,6x2,6x0,48m z dřevěných mostnicových pražců pod patkami jeřábu na 16. koleji, mostnicový pražec 240/240/2600, dvě patra/1 rovnaninu, celkem dvě rovnaniny, včetně propojení jednotlivých pražců, včetně přesného geometrického zaměření kolejnic před zapatkováním a po odpatkování jeřábu, včetně dopravy, 2*2,6*2,6*0,48</t>
  </si>
  <si>
    <t>Položka nezahrnuje:
- veškeré druhy protikorozní ochrany nátěry konstrukcí,
- žárové zinkování ponorem nebo žárové stříkání (metalizace) kovem,
- osazení měřících zařízení a úpravy pro ně (tenzometry)</t>
  </si>
  <si>
    <t>uložení mostovky na závěrnou zídku na severní straně (vidlice+čep): 40 kg
uložení spojovacího krčku mezi výtahovou věží II.nástupiště a NK (vidlice+čep): 30 kg</t>
  </si>
  <si>
    <t>včetně veškerého nerez.spojovacího materiálu A2-70</t>
  </si>
  <si>
    <t>výroba,doprava, montáž - část nad stávajícím a totožně i nad novým stavem kolejiště (stáv.stav: k.č.16+14,12,10,8,6 / nový stav: k.č.14+12,10,8,6,4), 63.7m2</t>
  </si>
  <si>
    <t>výroba,doprava, montáž - část nad stávajícím stavem kolejiště (stáv.stav: k.č.4, 2,1+3b), 43.0m2</t>
  </si>
  <si>
    <t>výroba,doprava, montáž - část nad novým stavem kolejiště (nový stav: k.č.2,1), 23.5m2</t>
  </si>
  <si>
    <t>demontáž a odvoz do skladu investora - nad stávajícím stavem kolejištěm-po úpravě kolejiště (stáv.stav: k.č.4,2,1+3b), 43.0m2</t>
  </si>
  <si>
    <t>včetně PKO (DUPLEX=šopování+nátěry), skladba viz výkres zábradlí</t>
  </si>
  <si>
    <t>schodišťová část: 14m2 (prostřih 60%), 14*1,6=22,4m2
oblouková část:  88 kg (prostřih 60%), 88*1,6=140,8m2
spojovací krček k výtahu na II.nástupiště (PROSTŘIH 60%) 2,1*1,6=3,4m2</t>
  </si>
  <si>
    <t>DUPLEX systém (šopování+nátěry), skladba viz výkresy ocelové konstrukce</t>
  </si>
  <si>
    <r>
      <rPr>
        <b/>
        <sz val="10"/>
        <rFont val="Arial"/>
        <family val="2"/>
      </rPr>
      <t>korozní agresivita C4+K1: dle TKP 19.B použit systém I A + I speciál:</t>
    </r>
    <r>
      <rPr>
        <sz val="10"/>
        <rFont val="Arial"/>
        <family val="2"/>
      </rPr>
      <t xml:space="preserve">
schodišťová část: 140,0 m2;
oblouková část: 490,0 m2;
spojovací krček k výtahu na II. nástupiště: 5,0 m2;
</t>
    </r>
    <r>
      <rPr>
        <b/>
        <sz val="10"/>
        <rFont val="Arial"/>
        <family val="2"/>
      </rPr>
      <t>korozní agresivita C5-I: dle ČD S 5/4 použit systém ŽSP+ONS 03 (bude použit totožný systém dle TKP 19.B I A + I speciál):</t>
    </r>
    <r>
      <rPr>
        <sz val="10"/>
        <rFont val="Arial"/>
        <family val="2"/>
      </rPr>
      <t xml:space="preserve">
oblouková část-části podhledu nad kolejemi-ochrana ocel.konstrukcí proti výfukovým plynům,  90 m2;
</t>
    </r>
    <r>
      <rPr>
        <b/>
        <sz val="10"/>
        <rFont val="Arial"/>
        <family val="2"/>
      </rPr>
      <t>I speciál</t>
    </r>
    <r>
      <rPr>
        <sz val="10"/>
        <rFont val="Arial"/>
        <family val="2"/>
      </rPr>
      <t xml:space="preserve"> max.5% z celkové plochy</t>
    </r>
  </si>
  <si>
    <t>Vypracování realizační dokumentace stavby (RDS), průměrně 1.8% ceny díla</t>
  </si>
  <si>
    <t>Vypracování dokumentace skutečného provedení stavby (DSPS), průměrně 0.1% ceny díla</t>
  </si>
  <si>
    <t>vybourání základů a zesilujících bloků nad terénem, odvoz si přičte zhotovitel dle zvolené skládky
zesilující kotevní bloky, 0,6*0,7*3,5, 5ks
základy, 1,2*1,45*3,5, 6ks
=0,6*0,7*3,5*5+1,2*1,45*3,5*6</t>
  </si>
  <si>
    <t>Vypracování realizační dokumentace stavby (RDS), průměrně 2% ceny díla</t>
  </si>
  <si>
    <t>tubus výtahové věže, 3D model 11,95m3+10% rezerva na dočasné uložení OK schodišťové části</t>
  </si>
  <si>
    <t>22695A</t>
  </si>
  <si>
    <t>vrty pro zápory u buňky, dl.3m, 8ks</t>
  </si>
  <si>
    <t>ZÁPOROVÉ PAŽENÍ Z KOVU DOČASNÉ</t>
  </si>
  <si>
    <t>HEB 160 S235,dl.3m,8ks+převázka HEB 160 S235dl.8m, 42,6kg/m</t>
  </si>
  <si>
    <t>VÝDŘEVA ZÁPOROVÉHO PAŽENÍ DOČASNÁ (PLOCHA)</t>
  </si>
  <si>
    <t>plocha 1,3m*8m</t>
  </si>
  <si>
    <t>91783</t>
  </si>
  <si>
    <t>VÝŠKOVÁ ÚPRAVA OBRUB Z KRAJNÍKŮ</t>
  </si>
  <si>
    <t>snížení stávajících kamenných krajníků na severní straně v místě pro přecházení na straně podchodu</t>
  </si>
  <si>
    <t>Konstrukce nástupu na lávku na severní straně: 6+4+4m</t>
  </si>
  <si>
    <r>
      <t xml:space="preserve">Položka zahrnuje:
- dílenská dokumentace, včetně technologického předpisu spojování,
- dodání materiálu v požadované kvalitě a výroba konstrukce i dílenská (včetně pomůcek, přípravků a
prostředků pro výrobu) bez ohledu na náročnost a její hmotnost, dílenská montáž,
- dodání spojovacího materiálu,
- zřízení montážních a dilatačních spojů, spar, včetně potřebných úprav, vložek, opracování, očištění a
ošetření,
- podpěr. konstr. a lešení všech druhů pro montáž konstrukcí i doplňkových, včetně požadovaných otvorů,
ochranných a bezpečnostních opatření a základů pro tyto konstrukce a lešení,
- jakákoliv doprava a manipulace dílců a montážních sestav, včetně dopravy konstrukce z výrobny na stavbu,
- montáž konstrukce na staveništi, včetně montážních prostředků a pomůcek a zednických výpomocí,
</t>
    </r>
    <r>
      <rPr>
        <b/>
        <sz val="10"/>
        <rFont val="Arial"/>
        <family val="2"/>
      </rPr>
      <t>- pomocné podpůrné a stabilizační konstrukce pro sestavení obloukové i schodišťové části ocelové konstrukce na staveništi (předmontážní plošina podél kolejiště)</t>
    </r>
    <r>
      <rPr>
        <sz val="10"/>
        <rFont val="Arial"/>
        <family val="2"/>
      </rPr>
      <t xml:space="preserve">
- montážní dokumentace včetně technologického předpisu montáže,
- výplň, těsnění a tmelení spar a spojů,
- čištění konstrukce a odstranění všech vrubů (vrypy, otlačeniny a pod.),
- veškeré druhy opracování povrchů, včetně úprav pod nátěry a pod izolaci,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kotevních otvorů (příp. podlití patních desek) maltou, betonem nebo jinou speciální hmotou, vyplnění jam zeminou,
- ošetření kotevní oblasti proti vzniku trhlin, vlivu povětrnosti a pod.,
- osazení nivelačních značek, včetně jejich zaměření, označení znakem výrobce a vyznačení letopočtu.</t>
    </r>
  </si>
  <si>
    <t>jižní strana, v rozsahu pod velkoformátovou dlažbou, srovnání podloží po provedení zásypů základových konstrukcí a jejího okolí, do hloubky do 0,5m, zlepšení vlastností viz samostatná položka,  376m2</t>
  </si>
  <si>
    <t>jižní strana, v rozsahu pod velkoformátovou dlažbou, zafrézování vápna do podloží do hloubky do 0,5m, zhutnění (Edef min.45MPa),  376m2, položku čerpat pouze v případě nedostatečné kvality pláně</t>
  </si>
  <si>
    <r>
      <t>Konstrukce rozptylového prostoru pod schodištěm lávky vedle VB:
    ochranná vrstva ŠD</t>
    </r>
    <r>
      <rPr>
        <sz val="8"/>
        <rFont val="Arial"/>
        <family val="2"/>
      </rPr>
      <t>B</t>
    </r>
    <r>
      <rPr>
        <sz val="10"/>
        <rFont val="Arial"/>
        <family val="2"/>
      </rPr>
      <t xml:space="preserve"> 0-32, tl.250mm, plocha 376m2, 0,25*376=94m3
    podkladní vrstva ŠD</t>
    </r>
    <r>
      <rPr>
        <sz val="8"/>
        <rFont val="Arial"/>
        <family val="2"/>
      </rPr>
      <t>A</t>
    </r>
    <r>
      <rPr>
        <sz val="10"/>
        <rFont val="Arial"/>
        <family val="2"/>
      </rPr>
      <t xml:space="preserve"> 16-32 (32-64),tl.250mm, plocha 376m2, 0,25*376=94m3
Konstrukce chodníkové rampy:
    podkladní vrstva ŠD</t>
    </r>
    <r>
      <rPr>
        <sz val="8"/>
        <rFont val="Arial"/>
        <family val="2"/>
      </rPr>
      <t>B</t>
    </r>
    <r>
      <rPr>
        <sz val="10"/>
        <rFont val="Arial"/>
        <family val="2"/>
      </rPr>
      <t>, tl.250mm, plocha 124,5m2, 0,25*124,5=31,125m3
Polštář pod žb.schodišť.desky:
    podkladní vrstva ŠD</t>
    </r>
    <r>
      <rPr>
        <sz val="8"/>
        <rFont val="Arial"/>
        <family val="2"/>
      </rPr>
      <t>B</t>
    </r>
    <r>
      <rPr>
        <sz val="10"/>
        <rFont val="Arial"/>
        <family val="2"/>
      </rPr>
      <t>, tl.200mm, šířka 2,4m, dl.13m, 2ks: 0,2*2,4*13*2=12,48m3
Konstrukce nástupu na lávku na straně Růžového Vrchu:
    podkladní vrstva ŠD</t>
    </r>
    <r>
      <rPr>
        <sz val="8"/>
        <rFont val="Arial"/>
        <family val="2"/>
      </rPr>
      <t>B</t>
    </r>
    <r>
      <rPr>
        <sz val="10"/>
        <rFont val="Arial"/>
        <family val="2"/>
      </rPr>
      <t>, tl.150mm, plocha: 10,4m2, =0,15*10,4=1,56m3</t>
    </r>
  </si>
  <si>
    <t>Konstrukce rozptylového prostoru pod schodištěm lávky vedle VB: tl.100mm, plocha 376m2 (velkoformátová betonová dlažba, požadavky: tryskaný povrch, vysokojakostní beton se speciálním vnitřním ochranným systémem, minimální nasákavost, barevná stálost, kvalitní vzhled, snadná údržba dlážděného krytu, z výroby povrchová ochrana nástřikem impregnací, nižší náchylnost k ušpinění), 376*0,1
Mezipodesty zemních schodišť: tl.80mm, plocha 15.3m2, 15,3*0,08 (požadavky jako u velkoformátové dlažby)
Konstrukce nástupu na lávku na straně Růžového Vrchu: tl.60mm, plocha 10,4m2, 10,4*0,06 (požadavky jako u velkoformátové dlažby)</t>
  </si>
  <si>
    <t>Konstrukce rozptylového prostoru pod schodištěm lávky vedle VB:
    ložná vrstva DDK 4/8, tl.40mm, plocha 376m2 =0,04*376=15,04m3
Konstrukce nástupu na lávku na straně Růžového Vrchu:
    ložná vrstva DDK 4/8, tl.40mm, plocha 10,4m2, =0,04*10,4=0,42m3</t>
  </si>
  <si>
    <t>schodišťová část: 41200 kg
oblouková část:77600 kg
spojovací krček k výtahu na II.nástupiště: 510 kg</t>
  </si>
  <si>
    <t>schodišťová část (včetně nepochozích ploch nástupního schodiště): 25,9+52,1=78,0m2
oblouková část: 0m2</t>
  </si>
  <si>
    <t>schodišťová část: 60,7m2
oblouková část: betonová mostovka 236,0m2
spojovací krček k výtahu na II.nástupiště: 3,0m2</t>
  </si>
  <si>
    <t>IPE 160 S235, 7102kg (+400kg zavětrování z L-profilů), včetně spojovacích prvků 40kg (klobouková matice nerez A2-70),ostatní bez PKO</t>
  </si>
  <si>
    <t>schodišťová část: 1605 kg (včetně zábradlí kolem výtahové věže SO 701)
oblouková část: 4288 kg
spojovací krček k výtahu na II.nástupiště: 120 kg</t>
  </si>
  <si>
    <t>geodetický monitoring konstrukce, vytyčovací body, další potřebná měření během výstavby, geodetické zaměření skutečného provedení stavby a geometrické plány nového stavu, odhad 200 hodin (včetně vyhodnocení), pro všechny objekty stavby</t>
  </si>
  <si>
    <t>02991</t>
  </si>
  <si>
    <t>OSTATNÍ POŽADAVKY - INFORMAČNÍ TABULE</t>
  </si>
  <si>
    <t>Zhotovitel umístí na stavbě 2 kusy informační tabule (včetně stojanu, jeho kotvení a odstranění tabule), rozměry 1,60m x 1,00m, zelenobílý podklad, obsah: název stavební akce, termín zahájení, termín dokončení, stavební povolení, investor, dodavatel, inženýring. Přesná podoba informační tabule na požádání u projektanta nebo investora</t>
  </si>
  <si>
    <t>použití jeřábu, hmotnost břemene 85 tun, projektant navrhl proveditelné řešení viz výkresy ZOV (na výkrese uvedena délka ramene), zhotovitel si může navrhnout se souhlasem projektanta jiné řešení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</si>
</sst>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  <numFmt numFmtId="166" formatCode="#,##0\ &quot;Kč&quot;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;@"/>
    <numFmt numFmtId="173" formatCode="0.0"/>
    <numFmt numFmtId="174" formatCode="#,##0.000"/>
    <numFmt numFmtId="175" formatCode="000\ 00"/>
    <numFmt numFmtId="176" formatCode="0.0%"/>
    <numFmt numFmtId="177" formatCode="000000000"/>
    <numFmt numFmtId="178" formatCode="#\ ###\ ###"/>
    <numFmt numFmtId="179" formatCode="0.000;0.000;"/>
    <numFmt numFmtId="180" formatCode="0.00;0.00;"/>
    <numFmt numFmtId="181" formatCode="#\ ###\ ##0;#\ ###\ ##0;"/>
    <numFmt numFmtId="182" formatCode="##\ ###\ ##0;##\ ###\ ##0;"/>
    <numFmt numFmtId="183" formatCode="[$-10405]dd\.mm\.yyyy"/>
    <numFmt numFmtId="184" formatCode="#,##0.00%;\-#,##0.00%"/>
    <numFmt numFmtId="185" formatCode="#,##0.00000;\-#,##0.00000"/>
    <numFmt numFmtId="186" formatCode="#,##0.000;\-#,##0.000"/>
    <numFmt numFmtId="187" formatCode="###0.000;\-###0.000"/>
    <numFmt numFmtId="188" formatCode="#,##0_ ;\-#,##0\ "/>
    <numFmt numFmtId="189" formatCode="#,##0.00;\-#,##0.00"/>
  </numFmts>
  <fonts count="7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name val="Arial CE"/>
      <family val="2"/>
    </font>
    <font>
      <sz val="14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1"/>
      <color indexed="8"/>
      <name val="Times New Roman CE"/>
      <family val="0"/>
    </font>
    <font>
      <sz val="10"/>
      <color indexed="8"/>
      <name val="Times New Roman CE"/>
      <family val="0"/>
    </font>
    <font>
      <sz val="12"/>
      <color indexed="8"/>
      <name val="Times New Roman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Times New Roman CE"/>
      <family val="0"/>
    </font>
    <font>
      <b/>
      <sz val="10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1"/>
      <color theme="1"/>
      <name val="Times New Roman CE"/>
      <family val="0"/>
    </font>
    <font>
      <sz val="10"/>
      <color theme="1"/>
      <name val="Times New Roman CE"/>
      <family val="0"/>
    </font>
    <font>
      <sz val="12"/>
      <color theme="1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2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12" xfId="0" applyNumberFormat="1" applyFont="1" applyBorder="1" applyAlignment="1">
      <alignment vertical="center"/>
    </xf>
    <xf numFmtId="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 shrinkToFit="1"/>
      <protection/>
    </xf>
    <xf numFmtId="164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165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 shrinkToFit="1"/>
      <protection/>
    </xf>
    <xf numFmtId="0" fontId="0" fillId="0" borderId="13" xfId="0" applyNumberFormat="1" applyFont="1" applyFill="1" applyBorder="1" applyAlignment="1" applyProtection="1">
      <alignment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Alignment="1">
      <alignment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justify" vertical="center"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 locked="0"/>
    </xf>
    <xf numFmtId="4" fontId="3" fillId="33" borderId="0" xfId="0" applyNumberFormat="1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48" applyNumberFormat="1" applyFont="1" applyFill="1" applyBorder="1" applyAlignment="1" applyProtection="1">
      <alignment horizontal="center" vertical="center"/>
      <protection/>
    </xf>
    <xf numFmtId="1" fontId="0" fillId="0" borderId="0" xfId="4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64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vertical="center"/>
      <protection/>
    </xf>
    <xf numFmtId="164" fontId="0" fillId="0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33" borderId="16" xfId="0" applyNumberFormat="1" applyFont="1" applyFill="1" applyBorder="1" applyAlignment="1" applyProtection="1">
      <alignment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164" fontId="4" fillId="33" borderId="17" xfId="0" applyNumberFormat="1" applyFont="1" applyFill="1" applyBorder="1" applyAlignment="1" applyProtection="1">
      <alignment horizontal="center" vertical="center"/>
      <protection/>
    </xf>
    <xf numFmtId="164" fontId="3" fillId="33" borderId="17" xfId="0" applyNumberFormat="1" applyFont="1" applyFill="1" applyBorder="1" applyAlignment="1" applyProtection="1">
      <alignment vertical="center"/>
      <protection/>
    </xf>
    <xf numFmtId="164" fontId="3" fillId="33" borderId="17" xfId="0" applyNumberFormat="1" applyFont="1" applyFill="1" applyBorder="1" applyAlignment="1" applyProtection="1">
      <alignment horizontal="center" vertical="center"/>
      <protection/>
    </xf>
    <xf numFmtId="4" fontId="3" fillId="33" borderId="17" xfId="0" applyNumberFormat="1" applyFont="1" applyFill="1" applyBorder="1" applyAlignment="1" applyProtection="1">
      <alignment vertical="center"/>
      <protection/>
    </xf>
    <xf numFmtId="3" fontId="3" fillId="33" borderId="18" xfId="0" applyNumberFormat="1" applyFont="1" applyFill="1" applyBorder="1" applyAlignment="1" applyProtection="1">
      <alignment vertical="center"/>
      <protection/>
    </xf>
    <xf numFmtId="164" fontId="3" fillId="33" borderId="16" xfId="0" applyNumberFormat="1" applyFont="1" applyFill="1" applyBorder="1" applyAlignment="1" applyProtection="1">
      <alignment horizontal="center" vertical="center"/>
      <protection/>
    </xf>
    <xf numFmtId="164" fontId="4" fillId="33" borderId="17" xfId="0" applyNumberFormat="1" applyFont="1" applyFill="1" applyBorder="1" applyAlignment="1" applyProtection="1">
      <alignment vertical="center"/>
      <protection/>
    </xf>
    <xf numFmtId="4" fontId="4" fillId="33" borderId="17" xfId="0" applyNumberFormat="1" applyFont="1" applyFill="1" applyBorder="1" applyAlignment="1" applyProtection="1">
      <alignment vertical="center"/>
      <protection/>
    </xf>
    <xf numFmtId="3" fontId="4" fillId="33" borderId="18" xfId="0" applyNumberFormat="1" applyFont="1" applyFill="1" applyBorder="1" applyAlignment="1" applyProtection="1">
      <alignment vertical="center"/>
      <protection/>
    </xf>
    <xf numFmtId="164" fontId="4" fillId="33" borderId="16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167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167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center" vertical="center" wrapText="1"/>
      <protection/>
    </xf>
    <xf numFmtId="167" fontId="61" fillId="0" borderId="0" xfId="0" applyNumberFormat="1" applyFont="1" applyFill="1" applyBorder="1" applyAlignment="1" applyProtection="1">
      <alignment horizontal="center" vertical="center" wrapText="1"/>
      <protection/>
    </xf>
    <xf numFmtId="3" fontId="61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49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center" wrapText="1"/>
      <protection/>
    </xf>
    <xf numFmtId="49" fontId="63" fillId="0" borderId="0" xfId="0" applyNumberFormat="1" applyFont="1" applyFill="1" applyBorder="1" applyAlignment="1" applyProtection="1">
      <alignment horizontal="center" vertical="center" wrapText="1"/>
      <protection/>
    </xf>
    <xf numFmtId="49" fontId="61" fillId="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13" xfId="0" applyNumberFormat="1" applyFont="1" applyFill="1" applyBorder="1" applyAlignment="1" applyProtection="1">
      <alignment horizontal="center" vertical="center" wrapText="1"/>
      <protection/>
    </xf>
    <xf numFmtId="165" fontId="0" fillId="0" borderId="13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6" fontId="1" fillId="33" borderId="0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 quotePrefix="1">
      <alignment/>
    </xf>
    <xf numFmtId="0" fontId="65" fillId="0" borderId="0" xfId="0" applyFont="1" applyAlignment="1">
      <alignment horizontal="center"/>
    </xf>
    <xf numFmtId="0" fontId="66" fillId="34" borderId="0" xfId="0" applyFont="1" applyFill="1" applyAlignment="1">
      <alignment vertical="center"/>
    </xf>
    <xf numFmtId="0" fontId="66" fillId="34" borderId="0" xfId="0" applyFont="1" applyFill="1" applyAlignment="1">
      <alignment horizontal="center" vertical="center"/>
    </xf>
    <xf numFmtId="0" fontId="66" fillId="0" borderId="0" xfId="0" applyFont="1" applyAlignment="1">
      <alignment vertical="center"/>
    </xf>
    <xf numFmtId="0" fontId="64" fillId="0" borderId="19" xfId="0" applyFont="1" applyBorder="1" applyAlignment="1">
      <alignment/>
    </xf>
    <xf numFmtId="177" fontId="64" fillId="0" borderId="20" xfId="0" applyNumberFormat="1" applyFont="1" applyBorder="1" applyAlignment="1">
      <alignment/>
    </xf>
    <xf numFmtId="0" fontId="64" fillId="0" borderId="20" xfId="0" applyFont="1" applyBorder="1" applyAlignment="1">
      <alignment/>
    </xf>
    <xf numFmtId="2" fontId="64" fillId="0" borderId="20" xfId="0" applyNumberFormat="1" applyFont="1" applyBorder="1" applyAlignment="1">
      <alignment/>
    </xf>
    <xf numFmtId="178" fontId="64" fillId="0" borderId="20" xfId="0" applyNumberFormat="1" applyFont="1" applyBorder="1" applyAlignment="1">
      <alignment/>
    </xf>
    <xf numFmtId="179" fontId="64" fillId="0" borderId="20" xfId="0" applyNumberFormat="1" applyFont="1" applyBorder="1" applyAlignment="1">
      <alignment/>
    </xf>
    <xf numFmtId="180" fontId="64" fillId="0" borderId="21" xfId="0" applyNumberFormat="1" applyFont="1" applyBorder="1" applyAlignment="1">
      <alignment/>
    </xf>
    <xf numFmtId="0" fontId="64" fillId="0" borderId="20" xfId="0" applyFont="1" applyBorder="1" applyAlignment="1">
      <alignment horizontal="center"/>
    </xf>
    <xf numFmtId="0" fontId="67" fillId="0" borderId="22" xfId="0" applyFont="1" applyBorder="1" applyAlignment="1">
      <alignment/>
    </xf>
    <xf numFmtId="177" fontId="67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2" fontId="67" fillId="0" borderId="0" xfId="0" applyNumberFormat="1" applyFont="1" applyBorder="1" applyAlignment="1">
      <alignment/>
    </xf>
    <xf numFmtId="178" fontId="67" fillId="0" borderId="0" xfId="0" applyNumberFormat="1" applyFont="1" applyBorder="1" applyAlignment="1">
      <alignment/>
    </xf>
    <xf numFmtId="179" fontId="67" fillId="0" borderId="0" xfId="0" applyNumberFormat="1" applyFont="1" applyBorder="1" applyAlignment="1">
      <alignment/>
    </xf>
    <xf numFmtId="180" fontId="67" fillId="0" borderId="23" xfId="0" applyNumberFormat="1" applyFont="1" applyBorder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4" fillId="0" borderId="24" xfId="0" applyFont="1" applyBorder="1" applyAlignment="1">
      <alignment/>
    </xf>
    <xf numFmtId="177" fontId="64" fillId="0" borderId="25" xfId="0" applyNumberFormat="1" applyFont="1" applyBorder="1" applyAlignment="1">
      <alignment/>
    </xf>
    <xf numFmtId="49" fontId="64" fillId="0" borderId="25" xfId="0" applyNumberFormat="1" applyFont="1" applyBorder="1" applyAlignment="1">
      <alignment/>
    </xf>
    <xf numFmtId="2" fontId="64" fillId="0" borderId="25" xfId="0" applyNumberFormat="1" applyFont="1" applyBorder="1" applyAlignment="1">
      <alignment/>
    </xf>
    <xf numFmtId="178" fontId="64" fillId="0" borderId="25" xfId="0" applyNumberFormat="1" applyFont="1" applyBorder="1" applyAlignment="1">
      <alignment/>
    </xf>
    <xf numFmtId="179" fontId="64" fillId="0" borderId="25" xfId="0" applyNumberFormat="1" applyFont="1" applyBorder="1" applyAlignment="1">
      <alignment/>
    </xf>
    <xf numFmtId="180" fontId="64" fillId="0" borderId="26" xfId="0" applyNumberFormat="1" applyFont="1" applyBorder="1" applyAlignment="1">
      <alignment/>
    </xf>
    <xf numFmtId="49" fontId="64" fillId="0" borderId="25" xfId="0" applyNumberFormat="1" applyFont="1" applyBorder="1" applyAlignment="1">
      <alignment horizontal="center"/>
    </xf>
    <xf numFmtId="49" fontId="64" fillId="0" borderId="0" xfId="0" applyNumberFormat="1" applyFont="1" applyAlignment="1">
      <alignment/>
    </xf>
    <xf numFmtId="0" fontId="64" fillId="0" borderId="27" xfId="0" applyFont="1" applyBorder="1" applyAlignment="1">
      <alignment/>
    </xf>
    <xf numFmtId="177" fontId="64" fillId="0" borderId="28" xfId="0" applyNumberFormat="1" applyFont="1" applyBorder="1" applyAlignment="1">
      <alignment/>
    </xf>
    <xf numFmtId="49" fontId="64" fillId="0" borderId="28" xfId="0" applyNumberFormat="1" applyFont="1" applyBorder="1" applyAlignment="1">
      <alignment/>
    </xf>
    <xf numFmtId="2" fontId="64" fillId="0" borderId="28" xfId="0" applyNumberFormat="1" applyFont="1" applyBorder="1" applyAlignment="1">
      <alignment/>
    </xf>
    <xf numFmtId="178" fontId="64" fillId="0" borderId="28" xfId="0" applyNumberFormat="1" applyFont="1" applyBorder="1" applyAlignment="1">
      <alignment/>
    </xf>
    <xf numFmtId="179" fontId="64" fillId="0" borderId="28" xfId="0" applyNumberFormat="1" applyFont="1" applyBorder="1" applyAlignment="1">
      <alignment/>
    </xf>
    <xf numFmtId="180" fontId="64" fillId="0" borderId="29" xfId="0" applyNumberFormat="1" applyFont="1" applyBorder="1" applyAlignment="1">
      <alignment/>
    </xf>
    <xf numFmtId="49" fontId="64" fillId="0" borderId="28" xfId="0" applyNumberFormat="1" applyFont="1" applyBorder="1" applyAlignment="1">
      <alignment horizontal="center"/>
    </xf>
    <xf numFmtId="0" fontId="68" fillId="34" borderId="22" xfId="0" applyFont="1" applyFill="1" applyBorder="1" applyAlignment="1">
      <alignment/>
    </xf>
    <xf numFmtId="177" fontId="68" fillId="34" borderId="0" xfId="0" applyNumberFormat="1" applyFont="1" applyFill="1" applyBorder="1" applyAlignment="1">
      <alignment/>
    </xf>
    <xf numFmtId="49" fontId="68" fillId="34" borderId="0" xfId="0" applyNumberFormat="1" applyFont="1" applyFill="1" applyBorder="1" applyAlignment="1">
      <alignment/>
    </xf>
    <xf numFmtId="2" fontId="68" fillId="34" borderId="0" xfId="0" applyNumberFormat="1" applyFont="1" applyFill="1" applyBorder="1" applyAlignment="1">
      <alignment/>
    </xf>
    <xf numFmtId="178" fontId="68" fillId="34" borderId="0" xfId="0" applyNumberFormat="1" applyFont="1" applyFill="1" applyBorder="1" applyAlignment="1">
      <alignment/>
    </xf>
    <xf numFmtId="179" fontId="68" fillId="34" borderId="0" xfId="0" applyNumberFormat="1" applyFont="1" applyFill="1" applyBorder="1" applyAlignment="1">
      <alignment/>
    </xf>
    <xf numFmtId="180" fontId="68" fillId="34" borderId="23" xfId="0" applyNumberFormat="1" applyFont="1" applyFill="1" applyBorder="1" applyAlignment="1">
      <alignment/>
    </xf>
    <xf numFmtId="49" fontId="68" fillId="34" borderId="0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49" fontId="68" fillId="0" borderId="0" xfId="0" applyNumberFormat="1" applyFont="1" applyAlignment="1">
      <alignment/>
    </xf>
    <xf numFmtId="0" fontId="67" fillId="0" borderId="30" xfId="0" applyFont="1" applyBorder="1" applyAlignment="1">
      <alignment/>
    </xf>
    <xf numFmtId="177" fontId="67" fillId="0" borderId="31" xfId="0" applyNumberFormat="1" applyFont="1" applyBorder="1" applyAlignment="1">
      <alignment/>
    </xf>
    <xf numFmtId="49" fontId="67" fillId="0" borderId="31" xfId="0" applyNumberFormat="1" applyFont="1" applyBorder="1" applyAlignment="1">
      <alignment/>
    </xf>
    <xf numFmtId="2" fontId="67" fillId="0" borderId="31" xfId="0" applyNumberFormat="1" applyFont="1" applyBorder="1" applyAlignment="1">
      <alignment/>
    </xf>
    <xf numFmtId="178" fontId="67" fillId="0" borderId="31" xfId="0" applyNumberFormat="1" applyFont="1" applyBorder="1" applyAlignment="1">
      <alignment/>
    </xf>
    <xf numFmtId="179" fontId="67" fillId="0" borderId="31" xfId="0" applyNumberFormat="1" applyFont="1" applyBorder="1" applyAlignment="1">
      <alignment/>
    </xf>
    <xf numFmtId="180" fontId="67" fillId="0" borderId="32" xfId="0" applyNumberFormat="1" applyFont="1" applyBorder="1" applyAlignment="1">
      <alignment/>
    </xf>
    <xf numFmtId="49" fontId="67" fillId="0" borderId="31" xfId="0" applyNumberFormat="1" applyFont="1" applyBorder="1" applyAlignment="1">
      <alignment horizontal="center"/>
    </xf>
    <xf numFmtId="49" fontId="67" fillId="0" borderId="0" xfId="0" applyNumberFormat="1" applyFont="1" applyAlignment="1">
      <alignment/>
    </xf>
    <xf numFmtId="0" fontId="68" fillId="34" borderId="33" xfId="0" applyFont="1" applyFill="1" applyBorder="1" applyAlignment="1">
      <alignment/>
    </xf>
    <xf numFmtId="177" fontId="68" fillId="34" borderId="34" xfId="0" applyNumberFormat="1" applyFont="1" applyFill="1" applyBorder="1" applyAlignment="1">
      <alignment/>
    </xf>
    <xf numFmtId="0" fontId="68" fillId="34" borderId="34" xfId="0" applyFont="1" applyFill="1" applyBorder="1" applyAlignment="1">
      <alignment/>
    </xf>
    <xf numFmtId="2" fontId="68" fillId="34" borderId="34" xfId="0" applyNumberFormat="1" applyFont="1" applyFill="1" applyBorder="1" applyAlignment="1">
      <alignment/>
    </xf>
    <xf numFmtId="178" fontId="68" fillId="34" borderId="34" xfId="0" applyNumberFormat="1" applyFont="1" applyFill="1" applyBorder="1" applyAlignment="1">
      <alignment/>
    </xf>
    <xf numFmtId="179" fontId="68" fillId="34" borderId="34" xfId="0" applyNumberFormat="1" applyFont="1" applyFill="1" applyBorder="1" applyAlignment="1">
      <alignment/>
    </xf>
    <xf numFmtId="180" fontId="68" fillId="34" borderId="35" xfId="0" applyNumberFormat="1" applyFont="1" applyFill="1" applyBorder="1" applyAlignment="1">
      <alignment/>
    </xf>
    <xf numFmtId="0" fontId="68" fillId="34" borderId="0" xfId="0" applyFont="1" applyFill="1" applyAlignment="1">
      <alignment horizontal="center"/>
    </xf>
    <xf numFmtId="177" fontId="64" fillId="0" borderId="0" xfId="0" applyNumberFormat="1" applyFont="1" applyAlignment="1">
      <alignment/>
    </xf>
    <xf numFmtId="2" fontId="64" fillId="0" borderId="0" xfId="0" applyNumberFormat="1" applyFont="1" applyAlignment="1">
      <alignment/>
    </xf>
    <xf numFmtId="178" fontId="64" fillId="0" borderId="0" xfId="0" applyNumberFormat="1" applyFont="1" applyAlignment="1">
      <alignment/>
    </xf>
    <xf numFmtId="179" fontId="64" fillId="0" borderId="0" xfId="0" applyNumberFormat="1" applyFont="1" applyAlignment="1">
      <alignment/>
    </xf>
    <xf numFmtId="180" fontId="64" fillId="0" borderId="0" xfId="0" applyNumberFormat="1" applyFont="1" applyAlignment="1">
      <alignment/>
    </xf>
    <xf numFmtId="181" fontId="64" fillId="0" borderId="0" xfId="0" applyNumberFormat="1" applyFont="1" applyAlignment="1">
      <alignment/>
    </xf>
    <xf numFmtId="182" fontId="64" fillId="0" borderId="0" xfId="0" applyNumberFormat="1" applyFont="1" applyAlignment="1">
      <alignment/>
    </xf>
    <xf numFmtId="0" fontId="69" fillId="0" borderId="0" xfId="0" applyFont="1" applyAlignment="1">
      <alignment/>
    </xf>
    <xf numFmtId="0" fontId="66" fillId="34" borderId="36" xfId="0" applyFont="1" applyFill="1" applyBorder="1" applyAlignment="1">
      <alignment vertical="center"/>
    </xf>
    <xf numFmtId="0" fontId="66" fillId="34" borderId="37" xfId="0" applyFont="1" applyFill="1" applyBorder="1" applyAlignment="1">
      <alignment vertical="center"/>
    </xf>
    <xf numFmtId="2" fontId="66" fillId="34" borderId="37" xfId="0" applyNumberFormat="1" applyFont="1" applyFill="1" applyBorder="1" applyAlignment="1">
      <alignment vertical="center"/>
    </xf>
    <xf numFmtId="181" fontId="66" fillId="34" borderId="37" xfId="0" applyNumberFormat="1" applyFont="1" applyFill="1" applyBorder="1" applyAlignment="1">
      <alignment vertical="center"/>
    </xf>
    <xf numFmtId="182" fontId="66" fillId="34" borderId="38" xfId="0" applyNumberFormat="1" applyFont="1" applyFill="1" applyBorder="1" applyAlignment="1">
      <alignment vertical="center"/>
    </xf>
    <xf numFmtId="0" fontId="69" fillId="0" borderId="19" xfId="0" applyFont="1" applyBorder="1" applyAlignment="1">
      <alignment horizontal="right"/>
    </xf>
    <xf numFmtId="0" fontId="69" fillId="0" borderId="20" xfId="0" applyFont="1" applyBorder="1" applyAlignment="1">
      <alignment horizontal="right"/>
    </xf>
    <xf numFmtId="2" fontId="69" fillId="0" borderId="20" xfId="0" applyNumberFormat="1" applyFont="1" applyBorder="1" applyAlignment="1">
      <alignment horizontal="right"/>
    </xf>
    <xf numFmtId="181" fontId="69" fillId="0" borderId="20" xfId="0" applyNumberFormat="1" applyFont="1" applyBorder="1" applyAlignment="1">
      <alignment horizontal="right"/>
    </xf>
    <xf numFmtId="182" fontId="69" fillId="0" borderId="21" xfId="0" applyNumberFormat="1" applyFont="1" applyBorder="1" applyAlignment="1">
      <alignment horizontal="right"/>
    </xf>
    <xf numFmtId="0" fontId="69" fillId="0" borderId="24" xfId="0" applyFont="1" applyBorder="1" applyAlignment="1">
      <alignment/>
    </xf>
    <xf numFmtId="49" fontId="69" fillId="0" borderId="39" xfId="0" applyNumberFormat="1" applyFont="1" applyBorder="1" applyAlignment="1">
      <alignment/>
    </xf>
    <xf numFmtId="181" fontId="69" fillId="0" borderId="25" xfId="0" applyNumberFormat="1" applyFont="1" applyBorder="1" applyAlignment="1">
      <alignment/>
    </xf>
    <xf numFmtId="182" fontId="69" fillId="0" borderId="26" xfId="0" applyNumberFormat="1" applyFont="1" applyBorder="1" applyAlignment="1">
      <alignment/>
    </xf>
    <xf numFmtId="2" fontId="69" fillId="0" borderId="25" xfId="0" applyNumberFormat="1" applyFont="1" applyBorder="1" applyAlignment="1">
      <alignment/>
    </xf>
    <xf numFmtId="0" fontId="69" fillId="0" borderId="40" xfId="0" applyFont="1" applyBorder="1" applyAlignment="1">
      <alignment/>
    </xf>
    <xf numFmtId="49" fontId="69" fillId="0" borderId="41" xfId="0" applyNumberFormat="1" applyFont="1" applyBorder="1" applyAlignment="1">
      <alignment/>
    </xf>
    <xf numFmtId="2" fontId="69" fillId="0" borderId="42" xfId="0" applyNumberFormat="1" applyFont="1" applyBorder="1" applyAlignment="1">
      <alignment/>
    </xf>
    <xf numFmtId="181" fontId="69" fillId="0" borderId="42" xfId="0" applyNumberFormat="1" applyFont="1" applyBorder="1" applyAlignment="1">
      <alignment/>
    </xf>
    <xf numFmtId="182" fontId="69" fillId="0" borderId="43" xfId="0" applyNumberFormat="1" applyFont="1" applyBorder="1" applyAlignment="1">
      <alignment/>
    </xf>
    <xf numFmtId="0" fontId="69" fillId="34" borderId="36" xfId="0" applyFont="1" applyFill="1" applyBorder="1" applyAlignment="1">
      <alignment/>
    </xf>
    <xf numFmtId="49" fontId="69" fillId="34" borderId="37" xfId="0" applyNumberFormat="1" applyFont="1" applyFill="1" applyBorder="1" applyAlignment="1">
      <alignment/>
    </xf>
    <xf numFmtId="2" fontId="69" fillId="34" borderId="37" xfId="0" applyNumberFormat="1" applyFont="1" applyFill="1" applyBorder="1" applyAlignment="1">
      <alignment/>
    </xf>
    <xf numFmtId="181" fontId="69" fillId="34" borderId="37" xfId="0" applyNumberFormat="1" applyFont="1" applyFill="1" applyBorder="1" applyAlignment="1">
      <alignment/>
    </xf>
    <xf numFmtId="182" fontId="69" fillId="34" borderId="38" xfId="0" applyNumberFormat="1" applyFont="1" applyFill="1" applyBorder="1" applyAlignment="1">
      <alignment/>
    </xf>
    <xf numFmtId="0" fontId="69" fillId="0" borderId="44" xfId="0" applyFont="1" applyBorder="1" applyAlignment="1">
      <alignment/>
    </xf>
    <xf numFmtId="49" fontId="69" fillId="0" borderId="31" xfId="0" applyNumberFormat="1" applyFont="1" applyBorder="1" applyAlignment="1">
      <alignment/>
    </xf>
    <xf numFmtId="2" fontId="69" fillId="0" borderId="45" xfId="0" applyNumberFormat="1" applyFont="1" applyBorder="1" applyAlignment="1">
      <alignment/>
    </xf>
    <xf numFmtId="181" fontId="69" fillId="0" borderId="45" xfId="0" applyNumberFormat="1" applyFont="1" applyBorder="1" applyAlignment="1">
      <alignment/>
    </xf>
    <xf numFmtId="182" fontId="69" fillId="0" borderId="46" xfId="0" applyNumberFormat="1" applyFont="1" applyBorder="1" applyAlignment="1">
      <alignment/>
    </xf>
    <xf numFmtId="0" fontId="65" fillId="0" borderId="27" xfId="0" applyFont="1" applyBorder="1" applyAlignment="1">
      <alignment/>
    </xf>
    <xf numFmtId="49" fontId="65" fillId="0" borderId="47" xfId="0" applyNumberFormat="1" applyFont="1" applyBorder="1" applyAlignment="1">
      <alignment/>
    </xf>
    <xf numFmtId="2" fontId="65" fillId="0" borderId="28" xfId="0" applyNumberFormat="1" applyFont="1" applyBorder="1" applyAlignment="1">
      <alignment/>
    </xf>
    <xf numFmtId="181" fontId="65" fillId="0" borderId="28" xfId="0" applyNumberFormat="1" applyFont="1" applyBorder="1" applyAlignment="1">
      <alignment/>
    </xf>
    <xf numFmtId="182" fontId="65" fillId="0" borderId="48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4" fontId="4" fillId="33" borderId="0" xfId="0" applyNumberFormat="1" applyFont="1" applyFill="1" applyBorder="1" applyAlignment="1" applyProtection="1">
      <alignment vertical="center"/>
      <protection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ont="1" applyFill="1" applyBorder="1" applyAlignment="1" applyProtection="1">
      <alignment horizontal="center" vertical="center"/>
      <protection/>
    </xf>
    <xf numFmtId="165" fontId="0" fillId="0" borderId="11" xfId="0" applyNumberFormat="1" applyFont="1" applyFill="1" applyBorder="1" applyAlignment="1" applyProtection="1">
      <alignment horizontal="center" vertical="center"/>
      <protection/>
    </xf>
    <xf numFmtId="2" fontId="69" fillId="0" borderId="25" xfId="0" applyNumberFormat="1" applyFont="1" applyBorder="1" applyAlignment="1" applyProtection="1">
      <alignment/>
      <protection locked="0"/>
    </xf>
    <xf numFmtId="182" fontId="69" fillId="0" borderId="26" xfId="0" applyNumberFormat="1" applyFont="1" applyBorder="1" applyAlignment="1" applyProtection="1">
      <alignment/>
      <protection locked="0"/>
    </xf>
    <xf numFmtId="2" fontId="64" fillId="0" borderId="25" xfId="0" applyNumberFormat="1" applyFont="1" applyBorder="1" applyAlignment="1" applyProtection="1">
      <alignment/>
      <protection locked="0"/>
    </xf>
    <xf numFmtId="2" fontId="64" fillId="0" borderId="28" xfId="0" applyNumberFormat="1" applyFont="1" applyBorder="1" applyAlignment="1" applyProtection="1">
      <alignment/>
      <protection locked="0"/>
    </xf>
    <xf numFmtId="0" fontId="70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 quotePrefix="1">
      <alignment/>
      <protection/>
    </xf>
    <xf numFmtId="0" fontId="65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/>
      <protection/>
    </xf>
    <xf numFmtId="0" fontId="66" fillId="34" borderId="0" xfId="0" applyFont="1" applyFill="1" applyAlignment="1" applyProtection="1">
      <alignment vertical="center"/>
      <protection/>
    </xf>
    <xf numFmtId="0" fontId="66" fillId="34" borderId="0" xfId="0" applyFont="1" applyFill="1" applyAlignment="1" applyProtection="1">
      <alignment horizontal="center" vertical="center"/>
      <protection/>
    </xf>
    <xf numFmtId="0" fontId="66" fillId="0" borderId="0" xfId="0" applyFont="1" applyAlignment="1" applyProtection="1">
      <alignment vertical="center"/>
      <protection/>
    </xf>
    <xf numFmtId="0" fontId="64" fillId="0" borderId="19" xfId="0" applyFont="1" applyBorder="1" applyAlignment="1" applyProtection="1">
      <alignment/>
      <protection/>
    </xf>
    <xf numFmtId="177" fontId="64" fillId="0" borderId="20" xfId="0" applyNumberFormat="1" applyFont="1" applyBorder="1" applyAlignment="1" applyProtection="1">
      <alignment/>
      <protection/>
    </xf>
    <xf numFmtId="0" fontId="64" fillId="0" borderId="20" xfId="0" applyFont="1" applyBorder="1" applyAlignment="1" applyProtection="1">
      <alignment/>
      <protection/>
    </xf>
    <xf numFmtId="2" fontId="64" fillId="0" borderId="20" xfId="0" applyNumberFormat="1" applyFont="1" applyBorder="1" applyAlignment="1" applyProtection="1">
      <alignment/>
      <protection/>
    </xf>
    <xf numFmtId="178" fontId="64" fillId="0" borderId="20" xfId="0" applyNumberFormat="1" applyFont="1" applyBorder="1" applyAlignment="1" applyProtection="1">
      <alignment/>
      <protection/>
    </xf>
    <xf numFmtId="179" fontId="64" fillId="0" borderId="20" xfId="0" applyNumberFormat="1" applyFont="1" applyBorder="1" applyAlignment="1" applyProtection="1">
      <alignment/>
      <protection/>
    </xf>
    <xf numFmtId="180" fontId="64" fillId="0" borderId="21" xfId="0" applyNumberFormat="1" applyFont="1" applyBorder="1" applyAlignment="1" applyProtection="1">
      <alignment/>
      <protection/>
    </xf>
    <xf numFmtId="0" fontId="64" fillId="0" borderId="20" xfId="0" applyFont="1" applyBorder="1" applyAlignment="1" applyProtection="1">
      <alignment horizontal="center"/>
      <protection/>
    </xf>
    <xf numFmtId="0" fontId="67" fillId="0" borderId="22" xfId="0" applyFont="1" applyBorder="1" applyAlignment="1" applyProtection="1">
      <alignment/>
      <protection/>
    </xf>
    <xf numFmtId="177" fontId="67" fillId="0" borderId="0" xfId="0" applyNumberFormat="1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2" fontId="67" fillId="0" borderId="0" xfId="0" applyNumberFormat="1" applyFont="1" applyBorder="1" applyAlignment="1" applyProtection="1">
      <alignment/>
      <protection/>
    </xf>
    <xf numFmtId="178" fontId="67" fillId="0" borderId="0" xfId="0" applyNumberFormat="1" applyFont="1" applyBorder="1" applyAlignment="1" applyProtection="1">
      <alignment/>
      <protection/>
    </xf>
    <xf numFmtId="179" fontId="67" fillId="0" borderId="0" xfId="0" applyNumberFormat="1" applyFont="1" applyBorder="1" applyAlignment="1" applyProtection="1">
      <alignment/>
      <protection/>
    </xf>
    <xf numFmtId="180" fontId="67" fillId="0" borderId="23" xfId="0" applyNumberFormat="1" applyFont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4" fillId="0" borderId="24" xfId="0" applyFont="1" applyBorder="1" applyAlignment="1" applyProtection="1">
      <alignment/>
      <protection/>
    </xf>
    <xf numFmtId="177" fontId="64" fillId="0" borderId="25" xfId="0" applyNumberFormat="1" applyFont="1" applyBorder="1" applyAlignment="1" applyProtection="1">
      <alignment/>
      <protection/>
    </xf>
    <xf numFmtId="49" fontId="64" fillId="0" borderId="25" xfId="0" applyNumberFormat="1" applyFont="1" applyBorder="1" applyAlignment="1" applyProtection="1">
      <alignment/>
      <protection/>
    </xf>
    <xf numFmtId="2" fontId="64" fillId="0" borderId="25" xfId="0" applyNumberFormat="1" applyFont="1" applyBorder="1" applyAlignment="1" applyProtection="1">
      <alignment/>
      <protection/>
    </xf>
    <xf numFmtId="178" fontId="64" fillId="0" borderId="25" xfId="0" applyNumberFormat="1" applyFont="1" applyBorder="1" applyAlignment="1" applyProtection="1">
      <alignment/>
      <protection/>
    </xf>
    <xf numFmtId="179" fontId="64" fillId="0" borderId="25" xfId="0" applyNumberFormat="1" applyFont="1" applyBorder="1" applyAlignment="1" applyProtection="1">
      <alignment/>
      <protection/>
    </xf>
    <xf numFmtId="180" fontId="64" fillId="0" borderId="26" xfId="0" applyNumberFormat="1" applyFont="1" applyBorder="1" applyAlignment="1" applyProtection="1">
      <alignment/>
      <protection/>
    </xf>
    <xf numFmtId="49" fontId="64" fillId="0" borderId="25" xfId="0" applyNumberFormat="1" applyFont="1" applyBorder="1" applyAlignment="1" applyProtection="1">
      <alignment horizontal="center"/>
      <protection/>
    </xf>
    <xf numFmtId="49" fontId="64" fillId="0" borderId="0" xfId="0" applyNumberFormat="1" applyFont="1" applyAlignment="1" applyProtection="1">
      <alignment/>
      <protection/>
    </xf>
    <xf numFmtId="0" fontId="64" fillId="0" borderId="27" xfId="0" applyFont="1" applyBorder="1" applyAlignment="1" applyProtection="1">
      <alignment/>
      <protection/>
    </xf>
    <xf numFmtId="177" fontId="64" fillId="0" borderId="28" xfId="0" applyNumberFormat="1" applyFont="1" applyBorder="1" applyAlignment="1" applyProtection="1">
      <alignment/>
      <protection/>
    </xf>
    <xf numFmtId="49" fontId="64" fillId="0" borderId="28" xfId="0" applyNumberFormat="1" applyFont="1" applyBorder="1" applyAlignment="1" applyProtection="1">
      <alignment/>
      <protection/>
    </xf>
    <xf numFmtId="2" fontId="64" fillId="0" borderId="28" xfId="0" applyNumberFormat="1" applyFont="1" applyBorder="1" applyAlignment="1" applyProtection="1">
      <alignment/>
      <protection/>
    </xf>
    <xf numFmtId="178" fontId="64" fillId="0" borderId="28" xfId="0" applyNumberFormat="1" applyFont="1" applyBorder="1" applyAlignment="1" applyProtection="1">
      <alignment/>
      <protection/>
    </xf>
    <xf numFmtId="179" fontId="64" fillId="0" borderId="28" xfId="0" applyNumberFormat="1" applyFont="1" applyBorder="1" applyAlignment="1" applyProtection="1">
      <alignment/>
      <protection/>
    </xf>
    <xf numFmtId="180" fontId="64" fillId="0" borderId="29" xfId="0" applyNumberFormat="1" applyFont="1" applyBorder="1" applyAlignment="1" applyProtection="1">
      <alignment/>
      <protection/>
    </xf>
    <xf numFmtId="49" fontId="64" fillId="0" borderId="28" xfId="0" applyNumberFormat="1" applyFont="1" applyBorder="1" applyAlignment="1" applyProtection="1">
      <alignment horizontal="center"/>
      <protection/>
    </xf>
    <xf numFmtId="0" fontId="68" fillId="34" borderId="22" xfId="0" applyFont="1" applyFill="1" applyBorder="1" applyAlignment="1" applyProtection="1">
      <alignment/>
      <protection/>
    </xf>
    <xf numFmtId="177" fontId="68" fillId="34" borderId="0" xfId="0" applyNumberFormat="1" applyFont="1" applyFill="1" applyBorder="1" applyAlignment="1" applyProtection="1">
      <alignment/>
      <protection/>
    </xf>
    <xf numFmtId="49" fontId="68" fillId="34" borderId="0" xfId="0" applyNumberFormat="1" applyFont="1" applyFill="1" applyBorder="1" applyAlignment="1" applyProtection="1">
      <alignment/>
      <protection/>
    </xf>
    <xf numFmtId="2" fontId="68" fillId="34" borderId="0" xfId="0" applyNumberFormat="1" applyFont="1" applyFill="1" applyBorder="1" applyAlignment="1" applyProtection="1">
      <alignment/>
      <protection/>
    </xf>
    <xf numFmtId="178" fontId="68" fillId="34" borderId="0" xfId="0" applyNumberFormat="1" applyFont="1" applyFill="1" applyBorder="1" applyAlignment="1" applyProtection="1">
      <alignment/>
      <protection/>
    </xf>
    <xf numFmtId="179" fontId="68" fillId="34" borderId="0" xfId="0" applyNumberFormat="1" applyFont="1" applyFill="1" applyBorder="1" applyAlignment="1" applyProtection="1">
      <alignment/>
      <protection/>
    </xf>
    <xf numFmtId="180" fontId="68" fillId="34" borderId="23" xfId="0" applyNumberFormat="1" applyFont="1" applyFill="1" applyBorder="1" applyAlignment="1" applyProtection="1">
      <alignment/>
      <protection/>
    </xf>
    <xf numFmtId="49" fontId="68" fillId="34" borderId="0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 applyProtection="1">
      <alignment/>
      <protection/>
    </xf>
    <xf numFmtId="49" fontId="68" fillId="0" borderId="0" xfId="0" applyNumberFormat="1" applyFont="1" applyAlignment="1" applyProtection="1">
      <alignment/>
      <protection/>
    </xf>
    <xf numFmtId="0" fontId="67" fillId="0" borderId="30" xfId="0" applyFont="1" applyBorder="1" applyAlignment="1" applyProtection="1">
      <alignment/>
      <protection/>
    </xf>
    <xf numFmtId="177" fontId="67" fillId="0" borderId="31" xfId="0" applyNumberFormat="1" applyFont="1" applyBorder="1" applyAlignment="1" applyProtection="1">
      <alignment/>
      <protection/>
    </xf>
    <xf numFmtId="49" fontId="67" fillId="0" borderId="31" xfId="0" applyNumberFormat="1" applyFont="1" applyBorder="1" applyAlignment="1" applyProtection="1">
      <alignment/>
      <protection/>
    </xf>
    <xf numFmtId="2" fontId="67" fillId="0" borderId="31" xfId="0" applyNumberFormat="1" applyFont="1" applyBorder="1" applyAlignment="1" applyProtection="1">
      <alignment/>
      <protection/>
    </xf>
    <xf numFmtId="178" fontId="67" fillId="0" borderId="31" xfId="0" applyNumberFormat="1" applyFont="1" applyBorder="1" applyAlignment="1" applyProtection="1">
      <alignment/>
      <protection/>
    </xf>
    <xf numFmtId="179" fontId="67" fillId="0" borderId="31" xfId="0" applyNumberFormat="1" applyFont="1" applyBorder="1" applyAlignment="1" applyProtection="1">
      <alignment/>
      <protection/>
    </xf>
    <xf numFmtId="180" fontId="67" fillId="0" borderId="32" xfId="0" applyNumberFormat="1" applyFont="1" applyBorder="1" applyAlignment="1" applyProtection="1">
      <alignment/>
      <protection/>
    </xf>
    <xf numFmtId="49" fontId="67" fillId="0" borderId="31" xfId="0" applyNumberFormat="1" applyFont="1" applyBorder="1" applyAlignment="1" applyProtection="1">
      <alignment horizontal="center"/>
      <protection/>
    </xf>
    <xf numFmtId="49" fontId="67" fillId="0" borderId="0" xfId="0" applyNumberFormat="1" applyFont="1" applyAlignment="1" applyProtection="1">
      <alignment/>
      <protection/>
    </xf>
    <xf numFmtId="0" fontId="68" fillId="34" borderId="33" xfId="0" applyFont="1" applyFill="1" applyBorder="1" applyAlignment="1" applyProtection="1">
      <alignment/>
      <protection/>
    </xf>
    <xf numFmtId="177" fontId="68" fillId="34" borderId="34" xfId="0" applyNumberFormat="1" applyFont="1" applyFill="1" applyBorder="1" applyAlignment="1" applyProtection="1">
      <alignment/>
      <protection/>
    </xf>
    <xf numFmtId="0" fontId="68" fillId="34" borderId="34" xfId="0" applyFont="1" applyFill="1" applyBorder="1" applyAlignment="1" applyProtection="1">
      <alignment/>
      <protection/>
    </xf>
    <xf numFmtId="2" fontId="68" fillId="34" borderId="34" xfId="0" applyNumberFormat="1" applyFont="1" applyFill="1" applyBorder="1" applyAlignment="1" applyProtection="1">
      <alignment/>
      <protection/>
    </xf>
    <xf numFmtId="178" fontId="68" fillId="34" borderId="34" xfId="0" applyNumberFormat="1" applyFont="1" applyFill="1" applyBorder="1" applyAlignment="1" applyProtection="1">
      <alignment/>
      <protection/>
    </xf>
    <xf numFmtId="179" fontId="68" fillId="34" borderId="34" xfId="0" applyNumberFormat="1" applyFont="1" applyFill="1" applyBorder="1" applyAlignment="1" applyProtection="1">
      <alignment/>
      <protection/>
    </xf>
    <xf numFmtId="180" fontId="68" fillId="34" borderId="35" xfId="0" applyNumberFormat="1" applyFont="1" applyFill="1" applyBorder="1" applyAlignment="1" applyProtection="1">
      <alignment/>
      <protection/>
    </xf>
    <xf numFmtId="0" fontId="68" fillId="34" borderId="0" xfId="0" applyFont="1" applyFill="1" applyAlignment="1" applyProtection="1">
      <alignment horizontal="center"/>
      <protection/>
    </xf>
    <xf numFmtId="177" fontId="64" fillId="0" borderId="0" xfId="0" applyNumberFormat="1" applyFont="1" applyAlignment="1" applyProtection="1">
      <alignment/>
      <protection/>
    </xf>
    <xf numFmtId="2" fontId="64" fillId="0" borderId="0" xfId="0" applyNumberFormat="1" applyFont="1" applyAlignment="1" applyProtection="1">
      <alignment/>
      <protection/>
    </xf>
    <xf numFmtId="178" fontId="64" fillId="0" borderId="0" xfId="0" applyNumberFormat="1" applyFont="1" applyAlignment="1" applyProtection="1">
      <alignment/>
      <protection/>
    </xf>
    <xf numFmtId="179" fontId="64" fillId="0" borderId="0" xfId="0" applyNumberFormat="1" applyFont="1" applyAlignment="1" applyProtection="1">
      <alignment/>
      <protection/>
    </xf>
    <xf numFmtId="180" fontId="64" fillId="0" borderId="0" xfId="0" applyNumberFormat="1" applyFont="1" applyAlignment="1" applyProtection="1">
      <alignment/>
      <protection/>
    </xf>
    <xf numFmtId="0" fontId="64" fillId="0" borderId="0" xfId="0" applyFont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0" fillId="0" borderId="1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167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10" fontId="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0" fillId="0" borderId="11" xfId="0" applyNumberFormat="1" applyFont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62" fillId="0" borderId="0" xfId="0" applyNumberFormat="1" applyFont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center"/>
      <protection/>
    </xf>
    <xf numFmtId="9" fontId="0" fillId="0" borderId="0" xfId="0" applyNumberFormat="1" applyFont="1" applyAlignment="1" applyProtection="1">
      <alignment vertical="center"/>
      <protection/>
    </xf>
    <xf numFmtId="165" fontId="0" fillId="0" borderId="1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61" fillId="0" borderId="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174" fontId="0" fillId="0" borderId="10" xfId="48" applyNumberFormat="1" applyFont="1" applyBorder="1" applyAlignment="1" applyProtection="1">
      <alignment horizontal="center" vertical="center"/>
      <protection/>
    </xf>
    <xf numFmtId="0" fontId="0" fillId="0" borderId="0" xfId="48" applyNumberFormat="1" applyFont="1" applyFill="1" applyBorder="1" applyAlignment="1" applyProtection="1">
      <alignment horizontal="center" vertical="center"/>
      <protection/>
    </xf>
    <xf numFmtId="0" fontId="0" fillId="0" borderId="0" xfId="48" applyFont="1" applyFill="1" applyBorder="1" applyAlignment="1" applyProtection="1">
      <alignment vertical="center" wrapText="1"/>
      <protection/>
    </xf>
    <xf numFmtId="174" fontId="0" fillId="0" borderId="0" xfId="48" applyNumberFormat="1" applyFont="1" applyBorder="1" applyAlignment="1" applyProtection="1">
      <alignment horizontal="center" vertical="center"/>
      <protection/>
    </xf>
    <xf numFmtId="49" fontId="62" fillId="0" borderId="13" xfId="48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7" fontId="2" fillId="0" borderId="0" xfId="0" applyNumberFormat="1" applyFont="1" applyBorder="1" applyAlignment="1" applyProtection="1">
      <alignment horizontal="center" vertical="center"/>
      <protection/>
    </xf>
    <xf numFmtId="0" fontId="0" fillId="0" borderId="10" xfId="48" applyFont="1" applyFill="1" applyBorder="1" applyAlignment="1" applyProtection="1">
      <alignment horizontal="center" vertical="center"/>
      <protection/>
    </xf>
    <xf numFmtId="0" fontId="0" fillId="0" borderId="10" xfId="48" applyNumberFormat="1" applyFont="1" applyFill="1" applyBorder="1" applyAlignment="1" applyProtection="1">
      <alignment horizontal="center" vertical="center"/>
      <protection/>
    </xf>
    <xf numFmtId="0" fontId="0" fillId="0" borderId="10" xfId="48" applyFont="1" applyFill="1" applyBorder="1" applyAlignment="1" applyProtection="1">
      <alignment vertical="center" wrapText="1"/>
      <protection/>
    </xf>
    <xf numFmtId="174" fontId="0" fillId="0" borderId="10" xfId="48" applyNumberFormat="1" applyFont="1" applyBorder="1" applyAlignment="1" applyProtection="1">
      <alignment horizontal="right" vertical="center"/>
      <protection/>
    </xf>
    <xf numFmtId="0" fontId="0" fillId="0" borderId="0" xfId="48" applyFont="1" applyFill="1" applyBorder="1" applyAlignment="1" applyProtection="1">
      <alignment horizontal="center" vertical="center"/>
      <protection/>
    </xf>
    <xf numFmtId="0" fontId="0" fillId="0" borderId="0" xfId="48" applyNumberFormat="1" applyFont="1" applyFill="1" applyBorder="1" applyAlignment="1" applyProtection="1">
      <alignment horizontal="left" vertical="center"/>
      <protection/>
    </xf>
    <xf numFmtId="174" fontId="0" fillId="0" borderId="0" xfId="48" applyNumberFormat="1" applyFont="1" applyBorder="1" applyAlignment="1" applyProtection="1">
      <alignment horizontal="right" vertical="center"/>
      <protection/>
    </xf>
    <xf numFmtId="0" fontId="0" fillId="0" borderId="0" xfId="48" applyNumberFormat="1" applyFont="1" applyFill="1" applyBorder="1" applyAlignment="1" applyProtection="1">
      <alignment vertical="center"/>
      <protection/>
    </xf>
    <xf numFmtId="49" fontId="0" fillId="0" borderId="0" xfId="48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49" xfId="0" applyNumberFormat="1" applyFont="1" applyFill="1" applyBorder="1" applyAlignment="1" applyProtection="1">
      <alignment horizontal="center" vertical="center" wrapText="1"/>
      <protection/>
    </xf>
    <xf numFmtId="49" fontId="1" fillId="0" borderId="50" xfId="0" applyNumberFormat="1" applyFont="1" applyFill="1" applyBorder="1" applyAlignment="1" applyProtection="1">
      <alignment horizontal="center" vertical="center" wrapText="1"/>
      <protection/>
    </xf>
    <xf numFmtId="167" fontId="1" fillId="0" borderId="49" xfId="0" applyNumberFormat="1" applyFont="1" applyFill="1" applyBorder="1" applyAlignment="1" applyProtection="1">
      <alignment horizontal="center" vertical="center" wrapText="1"/>
      <protection/>
    </xf>
    <xf numFmtId="167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50" xfId="0" applyNumberFormat="1" applyFont="1" applyFill="1" applyBorder="1" applyAlignment="1" applyProtection="1">
      <alignment horizontal="center" vertical="center" wrapText="1"/>
      <protection/>
    </xf>
    <xf numFmtId="167" fontId="1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="145" zoomScaleNormal="145" zoomScalePageLayoutView="0" workbookViewId="0" topLeftCell="A1">
      <pane ySplit="9" topLeftCell="A10" activePane="bottomLeft" state="frozen"/>
      <selection pane="topLeft" activeCell="B19" sqref="B19"/>
      <selection pane="bottomLeft" activeCell="B27" sqref="B27"/>
    </sheetView>
  </sheetViews>
  <sheetFormatPr defaultColWidth="9.140625" defaultRowHeight="12.75" customHeight="1"/>
  <cols>
    <col min="1" max="1" width="15.421875" style="0" customWidth="1"/>
    <col min="2" max="2" width="52.57421875" style="0" customWidth="1"/>
    <col min="3" max="5" width="24.7109375" style="35" customWidth="1"/>
  </cols>
  <sheetData>
    <row r="1" ht="24" customHeight="1">
      <c r="A1" s="51" t="s">
        <v>430</v>
      </c>
    </row>
    <row r="3" spans="1:5" ht="12.75" customHeight="1">
      <c r="A3" s="2" t="s">
        <v>67</v>
      </c>
      <c r="B3" s="2"/>
      <c r="C3" s="2"/>
      <c r="D3" s="38"/>
      <c r="E3" s="38"/>
    </row>
    <row r="4" spans="1:5" ht="12.75" customHeight="1">
      <c r="A4" s="2"/>
      <c r="B4" s="2"/>
      <c r="C4" s="2"/>
      <c r="D4" s="38"/>
      <c r="E4" s="38"/>
    </row>
    <row r="5" spans="1:5" ht="12.75" customHeight="1">
      <c r="A5" s="3" t="s">
        <v>423</v>
      </c>
      <c r="B5" s="135">
        <f>SUM(C10:C19)</f>
        <v>0</v>
      </c>
      <c r="C5" s="38"/>
      <c r="D5" s="38"/>
      <c r="E5" s="38"/>
    </row>
    <row r="6" spans="1:5" ht="12.75" customHeight="1">
      <c r="A6" s="3" t="s">
        <v>425</v>
      </c>
      <c r="B6" s="135">
        <f>SUM(D10:D19)</f>
        <v>0</v>
      </c>
      <c r="C6" s="38"/>
      <c r="D6" s="38"/>
      <c r="E6" s="38"/>
    </row>
    <row r="7" spans="1:5" ht="12.75" customHeight="1">
      <c r="A7" s="3" t="s">
        <v>424</v>
      </c>
      <c r="B7" s="135">
        <f>SUM(E10:E19)</f>
        <v>0</v>
      </c>
      <c r="C7" s="38"/>
      <c r="D7" s="38"/>
      <c r="E7" s="38"/>
    </row>
    <row r="9" spans="1:5" s="16" customFormat="1" ht="22.5" customHeight="1">
      <c r="A9" s="19" t="s">
        <v>426</v>
      </c>
      <c r="B9" s="19" t="s">
        <v>427</v>
      </c>
      <c r="C9" s="36" t="s">
        <v>429</v>
      </c>
      <c r="D9" s="36" t="s">
        <v>431</v>
      </c>
      <c r="E9" s="36" t="s">
        <v>428</v>
      </c>
    </row>
    <row r="10" spans="1:5" ht="12.75" customHeight="1">
      <c r="A10" s="17" t="s">
        <v>51</v>
      </c>
      <c r="B10" s="37" t="s">
        <v>93</v>
      </c>
      <c r="C10" s="54">
        <f>SO101!H120</f>
        <v>0</v>
      </c>
      <c r="D10" s="54">
        <f>0.21*C10</f>
        <v>0</v>
      </c>
      <c r="E10" s="54">
        <f>C10+D10</f>
        <v>0</v>
      </c>
    </row>
    <row r="11" spans="1:5" s="11" customFormat="1" ht="12.75" customHeight="1">
      <c r="A11" s="18" t="s">
        <v>52</v>
      </c>
      <c r="B11" s="37" t="s">
        <v>94</v>
      </c>
      <c r="C11" s="249">
        <f>SO102!H61</f>
        <v>0</v>
      </c>
      <c r="D11" s="249">
        <f aca="true" t="shared" si="0" ref="D11:D19">0.21*C11</f>
        <v>0</v>
      </c>
      <c r="E11" s="249">
        <f>C11+D11</f>
        <v>0</v>
      </c>
    </row>
    <row r="12" spans="1:5" s="11" customFormat="1" ht="12.75" customHeight="1">
      <c r="A12" s="18" t="s">
        <v>53</v>
      </c>
      <c r="B12" s="37" t="s">
        <v>267</v>
      </c>
      <c r="C12" s="249">
        <f>SO201!H371</f>
        <v>0</v>
      </c>
      <c r="D12" s="249">
        <f t="shared" si="0"/>
        <v>0</v>
      </c>
      <c r="E12" s="249">
        <f aca="true" t="shared" si="1" ref="E12:E19">C12+D12</f>
        <v>0</v>
      </c>
    </row>
    <row r="13" spans="1:5" s="11" customFormat="1" ht="12.75" customHeight="1">
      <c r="A13" s="18" t="s">
        <v>54</v>
      </c>
      <c r="B13" s="37" t="s">
        <v>95</v>
      </c>
      <c r="C13" s="249">
        <f>SO202!H48</f>
        <v>0</v>
      </c>
      <c r="D13" s="249">
        <f t="shared" si="0"/>
        <v>0</v>
      </c>
      <c r="E13" s="249">
        <f t="shared" si="1"/>
        <v>0</v>
      </c>
    </row>
    <row r="14" spans="1:5" s="11" customFormat="1" ht="12.75" customHeight="1">
      <c r="A14" s="18" t="s">
        <v>55</v>
      </c>
      <c r="B14" s="37" t="s">
        <v>96</v>
      </c>
      <c r="C14" s="249">
        <f>'SO402-rekapitulace'!F35</f>
        <v>0</v>
      </c>
      <c r="D14" s="249">
        <f t="shared" si="0"/>
        <v>0</v>
      </c>
      <c r="E14" s="249">
        <f t="shared" si="1"/>
        <v>0</v>
      </c>
    </row>
    <row r="15" spans="1:5" s="11" customFormat="1" ht="12.75" customHeight="1">
      <c r="A15" s="18" t="s">
        <v>56</v>
      </c>
      <c r="B15" s="37" t="s">
        <v>97</v>
      </c>
      <c r="C15" s="249">
        <f>'SO403-rekapitulace'!F35</f>
        <v>0</v>
      </c>
      <c r="D15" s="249">
        <f t="shared" si="0"/>
        <v>0</v>
      </c>
      <c r="E15" s="249">
        <f t="shared" si="1"/>
        <v>0</v>
      </c>
    </row>
    <row r="16" spans="1:5" s="11" customFormat="1" ht="12.75" customHeight="1">
      <c r="A16" s="18" t="s">
        <v>57</v>
      </c>
      <c r="B16" s="37" t="s">
        <v>502</v>
      </c>
      <c r="C16" s="249">
        <f>SO404!H17</f>
        <v>0</v>
      </c>
      <c r="D16" s="249">
        <f t="shared" si="0"/>
        <v>0</v>
      </c>
      <c r="E16" s="249">
        <f t="shared" si="1"/>
        <v>0</v>
      </c>
    </row>
    <row r="17" spans="1:5" s="11" customFormat="1" ht="12.75" customHeight="1">
      <c r="A17" s="18" t="s">
        <v>58</v>
      </c>
      <c r="B17" s="37" t="s">
        <v>602</v>
      </c>
      <c r="C17" s="249">
        <f>PS456!H13</f>
        <v>0</v>
      </c>
      <c r="D17" s="249">
        <f t="shared" si="0"/>
        <v>0</v>
      </c>
      <c r="E17" s="249">
        <f>C17+D17</f>
        <v>0</v>
      </c>
    </row>
    <row r="18" spans="1:5" s="11" customFormat="1" ht="12.75" customHeight="1">
      <c r="A18" s="18" t="s">
        <v>59</v>
      </c>
      <c r="B18" s="37" t="s">
        <v>98</v>
      </c>
      <c r="C18" s="249">
        <f>SO701!H134</f>
        <v>0</v>
      </c>
      <c r="D18" s="249">
        <f t="shared" si="0"/>
        <v>0</v>
      </c>
      <c r="E18" s="249">
        <f t="shared" si="1"/>
        <v>0</v>
      </c>
    </row>
    <row r="19" spans="1:5" s="11" customFormat="1" ht="12.75" customHeight="1">
      <c r="A19" s="18" t="s">
        <v>60</v>
      </c>
      <c r="B19" s="37" t="s">
        <v>99</v>
      </c>
      <c r="C19" s="249">
        <f>PS701!H14</f>
        <v>0</v>
      </c>
      <c r="D19" s="249">
        <f t="shared" si="0"/>
        <v>0</v>
      </c>
      <c r="E19" s="249">
        <f t="shared" si="1"/>
        <v>0</v>
      </c>
    </row>
    <row r="20" ht="12.75" customHeight="1" thickBot="1"/>
    <row r="21" spans="2:5" ht="20.25" customHeight="1" thickBot="1">
      <c r="B21" s="51"/>
      <c r="C21" s="69">
        <f>SUM(C10:C19)</f>
        <v>0</v>
      </c>
      <c r="D21" s="69">
        <f>SUM(D10:D20)</f>
        <v>0</v>
      </c>
      <c r="E21" s="20">
        <f>SUM(E10:E19)</f>
        <v>0</v>
      </c>
    </row>
  </sheetData>
  <sheetProtection sheet="1" objects="1" scenarios="1" selectLockedCells="1" selectUnlockedCells="1"/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98" r:id="rId1"/>
  <headerFooter alignWithMargins="0">
    <oddFooter>&amp;C&amp;A
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zoomScale="85" zoomScaleNormal="85" zoomScalePageLayoutView="0" workbookViewId="0" topLeftCell="A1">
      <selection activeCell="G11" sqref="G11"/>
    </sheetView>
  </sheetViews>
  <sheetFormatPr defaultColWidth="9.140625" defaultRowHeight="12.75"/>
  <cols>
    <col min="1" max="1" width="6.7109375" style="11" customWidth="1"/>
    <col min="2" max="2" width="12.7109375" style="57" customWidth="1"/>
    <col min="3" max="3" width="17.7109375" style="11" customWidth="1"/>
    <col min="4" max="4" width="75.7109375" style="11" customWidth="1"/>
    <col min="5" max="6" width="10.7109375" style="57" customWidth="1"/>
    <col min="7" max="7" width="15.7109375" style="43" customWidth="1"/>
    <col min="8" max="8" width="15.7109375" style="11" customWidth="1"/>
    <col min="9" max="9" width="13.28125" style="11" customWidth="1"/>
    <col min="10" max="14" width="9.140625" style="11" customWidth="1"/>
    <col min="15" max="16" width="9.140625" style="11" hidden="1" customWidth="1"/>
    <col min="17" max="16384" width="9.140625" style="11" customWidth="1"/>
  </cols>
  <sheetData>
    <row r="1" ht="12.75" customHeight="1">
      <c r="A1" s="5"/>
    </row>
    <row r="2" spans="1:5" ht="24.75" customHeight="1">
      <c r="A2" s="72" t="s">
        <v>92</v>
      </c>
      <c r="C2" s="5"/>
      <c r="D2" s="5"/>
      <c r="E2" s="1"/>
    </row>
    <row r="3" spans="1:5" ht="24.75" customHeight="1">
      <c r="A3" s="72" t="s">
        <v>503</v>
      </c>
      <c r="C3" s="5"/>
      <c r="D3" s="5"/>
      <c r="E3" s="1"/>
    </row>
    <row r="4" spans="1:5" ht="24.75" customHeight="1">
      <c r="A4" s="72" t="s">
        <v>382</v>
      </c>
      <c r="C4" s="5"/>
      <c r="D4" s="5"/>
      <c r="E4" s="1"/>
    </row>
    <row r="5" spans="1:16" ht="34.5" customHeight="1">
      <c r="A5" s="416" t="s">
        <v>1</v>
      </c>
      <c r="B5" s="412" t="s">
        <v>3</v>
      </c>
      <c r="C5" s="416" t="s">
        <v>253</v>
      </c>
      <c r="D5" s="416" t="s">
        <v>4</v>
      </c>
      <c r="E5" s="416" t="s">
        <v>5</v>
      </c>
      <c r="F5" s="419" t="s">
        <v>6</v>
      </c>
      <c r="G5" s="19" t="s">
        <v>254</v>
      </c>
      <c r="H5" s="67" t="s">
        <v>255</v>
      </c>
      <c r="O5" s="11" t="s">
        <v>9</v>
      </c>
      <c r="P5" s="11" t="s">
        <v>0</v>
      </c>
    </row>
    <row r="6" spans="1:15" ht="14.25">
      <c r="A6" s="417"/>
      <c r="B6" s="418"/>
      <c r="C6" s="417"/>
      <c r="D6" s="417"/>
      <c r="E6" s="417"/>
      <c r="F6" s="420"/>
      <c r="G6" s="44" t="s">
        <v>7</v>
      </c>
      <c r="H6" s="68" t="s">
        <v>8</v>
      </c>
      <c r="O6" s="11" t="s">
        <v>0</v>
      </c>
    </row>
    <row r="7" spans="1:8" ht="15.75" thickBot="1">
      <c r="A7" s="59" t="s">
        <v>2</v>
      </c>
      <c r="B7" s="60" t="s">
        <v>10</v>
      </c>
      <c r="C7" s="59" t="s">
        <v>11</v>
      </c>
      <c r="D7" s="59" t="s">
        <v>12</v>
      </c>
      <c r="E7" s="59" t="s">
        <v>13</v>
      </c>
      <c r="F7" s="59">
        <v>6</v>
      </c>
      <c r="G7" s="61" t="s">
        <v>14</v>
      </c>
      <c r="H7" s="62" t="s">
        <v>15</v>
      </c>
    </row>
    <row r="8" spans="1:8" ht="15" thickTop="1">
      <c r="A8" s="33"/>
      <c r="B8" s="33"/>
      <c r="C8" s="33"/>
      <c r="D8" s="33"/>
      <c r="E8" s="33"/>
      <c r="F8" s="33"/>
      <c r="G8" s="49"/>
      <c r="H8" s="33"/>
    </row>
    <row r="9" spans="1:16" ht="15" customHeight="1">
      <c r="A9" s="53">
        <v>1</v>
      </c>
      <c r="B9" s="53" t="s">
        <v>505</v>
      </c>
      <c r="C9" s="53" t="s">
        <v>277</v>
      </c>
      <c r="D9" s="12" t="s">
        <v>504</v>
      </c>
      <c r="E9" s="53" t="s">
        <v>64</v>
      </c>
      <c r="F9" s="93">
        <v>1</v>
      </c>
      <c r="G9" s="46">
        <v>0</v>
      </c>
      <c r="H9" s="14">
        <f>ROUND((G9*F9),2)</f>
        <v>0</v>
      </c>
      <c r="O9" s="11" t="e">
        <f>REKAPITULACE!#REF!</f>
        <v>#REF!</v>
      </c>
      <c r="P9" s="11" t="e">
        <f>ROUND(O9/100*#REF!,2)</f>
        <v>#REF!</v>
      </c>
    </row>
    <row r="10" spans="1:8" ht="15" customHeight="1">
      <c r="A10" s="41"/>
      <c r="B10" s="41"/>
      <c r="C10" s="41"/>
      <c r="D10" s="22"/>
      <c r="E10" s="41"/>
      <c r="F10" s="94"/>
      <c r="G10" s="337"/>
      <c r="H10" s="24"/>
    </row>
    <row r="11" spans="1:8" ht="15" customHeight="1">
      <c r="A11" s="53">
        <v>2</v>
      </c>
      <c r="B11" s="53" t="s">
        <v>506</v>
      </c>
      <c r="C11" s="53" t="s">
        <v>277</v>
      </c>
      <c r="D11" s="12" t="s">
        <v>508</v>
      </c>
      <c r="E11" s="53" t="s">
        <v>64</v>
      </c>
      <c r="F11" s="93">
        <v>1</v>
      </c>
      <c r="G11" s="46">
        <v>0</v>
      </c>
      <c r="H11" s="14">
        <f>ROUND((G11*F11),2)</f>
        <v>0</v>
      </c>
    </row>
    <row r="12" spans="1:8" ht="15" customHeight="1">
      <c r="A12" s="41"/>
      <c r="B12" s="41"/>
      <c r="C12" s="41"/>
      <c r="D12" s="22"/>
      <c r="E12" s="41"/>
      <c r="F12" s="94"/>
      <c r="G12" s="337"/>
      <c r="H12" s="24"/>
    </row>
    <row r="13" spans="1:8" ht="15" customHeight="1">
      <c r="A13" s="53">
        <v>3</v>
      </c>
      <c r="B13" s="53" t="s">
        <v>507</v>
      </c>
      <c r="C13" s="53" t="s">
        <v>277</v>
      </c>
      <c r="D13" s="12" t="s">
        <v>509</v>
      </c>
      <c r="E13" s="53" t="s">
        <v>64</v>
      </c>
      <c r="F13" s="93">
        <v>1</v>
      </c>
      <c r="G13" s="46">
        <v>0</v>
      </c>
      <c r="H13" s="14">
        <f>ROUND((G13*F13),2)</f>
        <v>0</v>
      </c>
    </row>
    <row r="14" spans="1:8" ht="15" customHeight="1">
      <c r="A14" s="41"/>
      <c r="B14" s="41"/>
      <c r="C14" s="41"/>
      <c r="D14" s="22"/>
      <c r="E14" s="41"/>
      <c r="F14" s="94"/>
      <c r="G14" s="337"/>
      <c r="H14" s="24"/>
    </row>
    <row r="15" spans="1:8" ht="15" customHeight="1">
      <c r="A15" s="22"/>
      <c r="B15" s="41"/>
      <c r="C15" s="22"/>
      <c r="D15" s="22" t="s">
        <v>510</v>
      </c>
      <c r="E15" s="41"/>
      <c r="F15" s="94"/>
      <c r="G15" s="337"/>
      <c r="H15" s="24"/>
    </row>
    <row r="16" spans="6:8" ht="12.75" customHeight="1">
      <c r="F16" s="338"/>
      <c r="G16" s="339"/>
      <c r="H16" s="340"/>
    </row>
    <row r="17" spans="1:8" ht="24.75" customHeight="1">
      <c r="A17" s="10"/>
      <c r="B17" s="58"/>
      <c r="C17" s="10"/>
      <c r="D17" s="134" t="s">
        <v>34</v>
      </c>
      <c r="E17" s="58"/>
      <c r="F17" s="58"/>
      <c r="G17" s="47"/>
      <c r="H17" s="21">
        <f>SUM(H8:H15)</f>
        <v>0</v>
      </c>
    </row>
  </sheetData>
  <sheetProtection sheet="1" objects="1" scenarios="1" selectLockedCells="1"/>
  <mergeCells count="6"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85" r:id="rId1"/>
  <headerFooter>
    <oddFooter>&amp;C&amp;A
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zoomScale="85" zoomScaleNormal="85" zoomScalePageLayoutView="0" workbookViewId="0" topLeftCell="A1">
      <selection activeCell="G10" sqref="G10"/>
    </sheetView>
  </sheetViews>
  <sheetFormatPr defaultColWidth="9.140625" defaultRowHeight="12.75"/>
  <cols>
    <col min="1" max="1" width="6.7109375" style="11" customWidth="1"/>
    <col min="2" max="2" width="12.7109375" style="11" customWidth="1"/>
    <col min="3" max="3" width="17.7109375" style="11" customWidth="1"/>
    <col min="4" max="4" width="75.7109375" style="11" customWidth="1"/>
    <col min="5" max="6" width="10.7109375" style="57" customWidth="1"/>
    <col min="7" max="7" width="15.7109375" style="43" customWidth="1"/>
    <col min="8" max="8" width="15.7109375" style="11" customWidth="1"/>
    <col min="9" max="9" width="13.28125" style="11" customWidth="1"/>
    <col min="10" max="14" width="9.140625" style="11" customWidth="1"/>
    <col min="15" max="16" width="9.140625" style="11" hidden="1" customWidth="1"/>
    <col min="17" max="16384" width="9.140625" style="11" customWidth="1"/>
  </cols>
  <sheetData>
    <row r="1" ht="12.75" customHeight="1">
      <c r="A1" s="5"/>
    </row>
    <row r="2" spans="1:5" ht="24.75" customHeight="1">
      <c r="A2" s="72" t="s">
        <v>92</v>
      </c>
      <c r="C2" s="5"/>
      <c r="D2" s="5"/>
      <c r="E2" s="1"/>
    </row>
    <row r="3" spans="1:5" ht="24.75" customHeight="1">
      <c r="A3" s="72" t="s">
        <v>501</v>
      </c>
      <c r="C3" s="5"/>
      <c r="D3" s="5"/>
      <c r="E3" s="1"/>
    </row>
    <row r="4" spans="1:5" ht="24.75" customHeight="1">
      <c r="A4" s="72" t="s">
        <v>422</v>
      </c>
      <c r="C4" s="5"/>
      <c r="D4" s="5"/>
      <c r="E4" s="1"/>
    </row>
    <row r="5" spans="1:16" ht="34.5" customHeight="1">
      <c r="A5" s="416" t="s">
        <v>1</v>
      </c>
      <c r="B5" s="412" t="s">
        <v>3</v>
      </c>
      <c r="C5" s="416" t="s">
        <v>253</v>
      </c>
      <c r="D5" s="416" t="s">
        <v>4</v>
      </c>
      <c r="E5" s="416" t="s">
        <v>5</v>
      </c>
      <c r="F5" s="419" t="s">
        <v>6</v>
      </c>
      <c r="G5" s="19" t="s">
        <v>254</v>
      </c>
      <c r="H5" s="67" t="s">
        <v>255</v>
      </c>
      <c r="O5" s="11" t="s">
        <v>9</v>
      </c>
      <c r="P5" s="11" t="s">
        <v>0</v>
      </c>
    </row>
    <row r="6" spans="1:15" ht="14.25">
      <c r="A6" s="417"/>
      <c r="B6" s="418"/>
      <c r="C6" s="417"/>
      <c r="D6" s="417"/>
      <c r="E6" s="417"/>
      <c r="F6" s="420"/>
      <c r="G6" s="44" t="s">
        <v>7</v>
      </c>
      <c r="H6" s="68" t="s">
        <v>8</v>
      </c>
      <c r="O6" s="11" t="s">
        <v>0</v>
      </c>
    </row>
    <row r="7" spans="1:8" ht="15.75" thickBot="1">
      <c r="A7" s="59" t="s">
        <v>2</v>
      </c>
      <c r="B7" s="60" t="s">
        <v>10</v>
      </c>
      <c r="C7" s="59" t="s">
        <v>11</v>
      </c>
      <c r="D7" s="59" t="s">
        <v>12</v>
      </c>
      <c r="E7" s="59" t="s">
        <v>13</v>
      </c>
      <c r="F7" s="59">
        <v>6</v>
      </c>
      <c r="G7" s="61" t="s">
        <v>14</v>
      </c>
      <c r="H7" s="62" t="s">
        <v>15</v>
      </c>
    </row>
    <row r="8" spans="1:8" ht="15" thickTop="1">
      <c r="A8" s="33"/>
      <c r="B8" s="33"/>
      <c r="C8" s="33"/>
      <c r="D8" s="33"/>
      <c r="E8" s="33"/>
      <c r="F8" s="33"/>
      <c r="G8" s="49"/>
      <c r="H8" s="33"/>
    </row>
    <row r="9" spans="1:8" ht="12.75" customHeight="1">
      <c r="A9" s="7"/>
      <c r="B9" s="7"/>
      <c r="C9" s="7"/>
      <c r="D9" s="39"/>
      <c r="E9" s="76"/>
      <c r="F9" s="95"/>
      <c r="G9" s="50"/>
      <c r="H9" s="8"/>
    </row>
    <row r="10" spans="1:16" ht="26.25" customHeight="1">
      <c r="A10" s="12">
        <v>1</v>
      </c>
      <c r="B10" s="12" t="s">
        <v>511</v>
      </c>
      <c r="C10" s="53" t="s">
        <v>278</v>
      </c>
      <c r="D10" s="12" t="s">
        <v>159</v>
      </c>
      <c r="E10" s="53" t="s">
        <v>160</v>
      </c>
      <c r="F10" s="93">
        <v>1</v>
      </c>
      <c r="G10" s="46">
        <v>0</v>
      </c>
      <c r="H10" s="14">
        <f>ROUND((G10*F10),2)</f>
        <v>0</v>
      </c>
      <c r="O10" s="11" t="e">
        <f>REKAPITULACE!#REF!</f>
        <v>#REF!</v>
      </c>
      <c r="P10" s="11" t="e">
        <f>ROUND(O10/100*#REF!,2)</f>
        <v>#REF!</v>
      </c>
    </row>
    <row r="11" spans="1:8" ht="60.75" customHeight="1">
      <c r="A11" s="28"/>
      <c r="B11" s="28"/>
      <c r="C11" s="28"/>
      <c r="D11" s="28" t="s">
        <v>512</v>
      </c>
      <c r="E11" s="77"/>
      <c r="F11" s="133"/>
      <c r="G11" s="341"/>
      <c r="H11" s="26"/>
    </row>
    <row r="12" spans="1:16" ht="12.75" customHeight="1">
      <c r="A12" s="22"/>
      <c r="B12" s="22"/>
      <c r="C12" s="22"/>
      <c r="D12" s="22"/>
      <c r="E12" s="41"/>
      <c r="F12" s="94"/>
      <c r="G12" s="337"/>
      <c r="H12" s="24"/>
      <c r="P12" s="11" t="e">
        <f>SUM(P10:P10)</f>
        <v>#REF!</v>
      </c>
    </row>
    <row r="13" spans="1:8" ht="24.75" customHeight="1">
      <c r="A13" s="10"/>
      <c r="B13" s="10"/>
      <c r="C13" s="10"/>
      <c r="D13" s="134" t="s">
        <v>34</v>
      </c>
      <c r="E13" s="58"/>
      <c r="F13" s="58"/>
      <c r="G13" s="47"/>
      <c r="H13" s="21">
        <f>SUM(H8:H12)</f>
        <v>0</v>
      </c>
    </row>
  </sheetData>
  <sheetProtection sheet="1" objects="1" scenarios="1" selectLockedCells="1"/>
  <mergeCells count="6"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85" r:id="rId1"/>
  <headerFooter>
    <oddFooter>&amp;C&amp;A
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showGridLines="0" zoomScale="85" zoomScaleNormal="85" zoomScalePageLayoutView="0" workbookViewId="0" topLeftCell="A1">
      <pane ySplit="7" topLeftCell="A8" activePane="bottomLeft" state="frozen"/>
      <selection pane="topLeft" activeCell="B19" sqref="B19"/>
      <selection pane="bottomLeft" activeCell="G13" sqref="G13"/>
    </sheetView>
  </sheetViews>
  <sheetFormatPr defaultColWidth="9.140625" defaultRowHeight="12.75" customHeight="1"/>
  <cols>
    <col min="1" max="1" width="6.7109375" style="338" customWidth="1"/>
    <col min="2" max="2" width="15.7109375" style="338" customWidth="1"/>
    <col min="3" max="3" width="17.7109375" style="340" customWidth="1"/>
    <col min="4" max="4" width="75.7109375" style="340" customWidth="1"/>
    <col min="5" max="5" width="9.7109375" style="338" customWidth="1"/>
    <col min="6" max="6" width="12.7109375" style="340" customWidth="1"/>
    <col min="7" max="7" width="15.7109375" style="339" customWidth="1"/>
    <col min="8" max="8" width="15.7109375" style="340" customWidth="1"/>
    <col min="9" max="9" width="13.28125" style="340" customWidth="1"/>
    <col min="10" max="12" width="9.140625" style="340" customWidth="1"/>
    <col min="13" max="14" width="9.140625" style="340" hidden="1" customWidth="1"/>
    <col min="15" max="16384" width="9.140625" style="340" customWidth="1"/>
  </cols>
  <sheetData>
    <row r="1" ht="12.75" customHeight="1">
      <c r="A1" s="1"/>
    </row>
    <row r="2" ht="24.75" customHeight="1">
      <c r="A2" s="342" t="s">
        <v>92</v>
      </c>
    </row>
    <row r="3" ht="24.75" customHeight="1">
      <c r="A3" s="342" t="s">
        <v>560</v>
      </c>
    </row>
    <row r="4" spans="1:5" ht="24.75" customHeight="1">
      <c r="A4" s="342" t="s">
        <v>422</v>
      </c>
      <c r="D4" s="5"/>
      <c r="E4" s="1"/>
    </row>
    <row r="5" spans="1:14" ht="31.5" customHeight="1">
      <c r="A5" s="416" t="s">
        <v>1</v>
      </c>
      <c r="B5" s="412" t="s">
        <v>3</v>
      </c>
      <c r="C5" s="416" t="s">
        <v>253</v>
      </c>
      <c r="D5" s="416" t="s">
        <v>4</v>
      </c>
      <c r="E5" s="416" t="s">
        <v>5</v>
      </c>
      <c r="F5" s="419" t="s">
        <v>6</v>
      </c>
      <c r="G5" s="19" t="s">
        <v>254</v>
      </c>
      <c r="H5" s="67" t="s">
        <v>255</v>
      </c>
      <c r="M5" s="340" t="s">
        <v>9</v>
      </c>
      <c r="N5" s="340" t="s">
        <v>0</v>
      </c>
    </row>
    <row r="6" spans="1:13" ht="14.25">
      <c r="A6" s="417"/>
      <c r="B6" s="418"/>
      <c r="C6" s="417"/>
      <c r="D6" s="417"/>
      <c r="E6" s="417"/>
      <c r="F6" s="420"/>
      <c r="G6" s="44" t="s">
        <v>7</v>
      </c>
      <c r="H6" s="68" t="s">
        <v>8</v>
      </c>
      <c r="M6" s="340" t="s">
        <v>0</v>
      </c>
    </row>
    <row r="7" spans="1:8" ht="14.25">
      <c r="A7" s="4" t="s">
        <v>2</v>
      </c>
      <c r="B7" s="4" t="s">
        <v>10</v>
      </c>
      <c r="C7" s="4">
        <v>3</v>
      </c>
      <c r="D7" s="4" t="s">
        <v>12</v>
      </c>
      <c r="E7" s="4" t="s">
        <v>13</v>
      </c>
      <c r="F7" s="4">
        <f>D7+E7</f>
        <v>9</v>
      </c>
      <c r="G7" s="44" t="s">
        <v>14</v>
      </c>
      <c r="H7" s="4" t="s">
        <v>15</v>
      </c>
    </row>
    <row r="8" spans="1:8" ht="14.25">
      <c r="A8" s="33"/>
      <c r="B8" s="33"/>
      <c r="C8" s="33"/>
      <c r="D8" s="33"/>
      <c r="E8" s="33"/>
      <c r="F8" s="33"/>
      <c r="G8" s="49"/>
      <c r="H8" s="33"/>
    </row>
    <row r="9" spans="1:8" ht="15" customHeight="1">
      <c r="A9" s="7"/>
      <c r="B9" s="76"/>
      <c r="C9" s="76" t="s">
        <v>17</v>
      </c>
      <c r="D9" s="7" t="s">
        <v>16</v>
      </c>
      <c r="E9" s="76"/>
      <c r="F9" s="76"/>
      <c r="G9" s="45"/>
      <c r="H9" s="7"/>
    </row>
    <row r="10" spans="1:9" ht="15" customHeight="1">
      <c r="A10" s="53">
        <v>1</v>
      </c>
      <c r="B10" s="53" t="s">
        <v>21</v>
      </c>
      <c r="C10" s="53" t="s">
        <v>278</v>
      </c>
      <c r="D10" s="12" t="s">
        <v>22</v>
      </c>
      <c r="E10" s="53" t="s">
        <v>23</v>
      </c>
      <c r="F10" s="13">
        <v>1</v>
      </c>
      <c r="G10" s="46">
        <v>0</v>
      </c>
      <c r="H10" s="14">
        <f>ROUND((G10*F10),2)</f>
        <v>0</v>
      </c>
      <c r="I10" s="24"/>
    </row>
    <row r="11" spans="1:9" ht="15" customHeight="1">
      <c r="A11" s="41"/>
      <c r="B11" s="41"/>
      <c r="C11" s="22"/>
      <c r="D11" s="22" t="s">
        <v>656</v>
      </c>
      <c r="E11" s="41"/>
      <c r="F11" s="23"/>
      <c r="G11" s="337"/>
      <c r="H11" s="24"/>
      <c r="I11" s="24"/>
    </row>
    <row r="12" spans="1:9" ht="15" customHeight="1">
      <c r="A12" s="41"/>
      <c r="B12" s="41"/>
      <c r="C12" s="22"/>
      <c r="D12" s="22"/>
      <c r="E12" s="41"/>
      <c r="F12" s="23"/>
      <c r="G12" s="337"/>
      <c r="H12" s="24"/>
      <c r="I12" s="24"/>
    </row>
    <row r="13" spans="1:9" ht="15" customHeight="1">
      <c r="A13" s="53">
        <v>2</v>
      </c>
      <c r="B13" s="53" t="s">
        <v>24</v>
      </c>
      <c r="C13" s="53" t="s">
        <v>278</v>
      </c>
      <c r="D13" s="12" t="s">
        <v>25</v>
      </c>
      <c r="E13" s="53" t="s">
        <v>23</v>
      </c>
      <c r="F13" s="13">
        <v>1</v>
      </c>
      <c r="G13" s="46">
        <v>0</v>
      </c>
      <c r="H13" s="14">
        <f>ROUND((G13*F13),2)</f>
        <v>0</v>
      </c>
      <c r="I13" s="24"/>
    </row>
    <row r="14" spans="1:9" ht="15" customHeight="1">
      <c r="A14" s="41"/>
      <c r="B14" s="41"/>
      <c r="C14" s="22"/>
      <c r="D14" s="22" t="s">
        <v>654</v>
      </c>
      <c r="E14" s="41"/>
      <c r="F14" s="23"/>
      <c r="G14" s="337"/>
      <c r="H14" s="24"/>
      <c r="I14" s="24"/>
    </row>
    <row r="15" spans="1:9" ht="15" customHeight="1">
      <c r="A15" s="41"/>
      <c r="B15" s="41"/>
      <c r="C15" s="22"/>
      <c r="D15" s="22"/>
      <c r="E15" s="41"/>
      <c r="F15" s="23"/>
      <c r="G15" s="337"/>
      <c r="H15" s="24"/>
      <c r="I15" s="24"/>
    </row>
    <row r="16" spans="1:9" ht="15" customHeight="1">
      <c r="A16" s="10"/>
      <c r="B16" s="58"/>
      <c r="C16" s="58" t="s">
        <v>17</v>
      </c>
      <c r="D16" s="10" t="s">
        <v>16</v>
      </c>
      <c r="E16" s="58"/>
      <c r="F16" s="58"/>
      <c r="G16" s="47"/>
      <c r="H16" s="10">
        <f>SUM(H10:H14)</f>
        <v>0</v>
      </c>
      <c r="I16" s="24"/>
    </row>
    <row r="17" spans="1:9" s="354" customFormat="1" ht="15" customHeight="1">
      <c r="A17" s="250"/>
      <c r="B17" s="251"/>
      <c r="C17" s="251"/>
      <c r="D17" s="250"/>
      <c r="E17" s="251"/>
      <c r="F17" s="251"/>
      <c r="G17" s="45"/>
      <c r="H17" s="250"/>
      <c r="I17" s="24"/>
    </row>
    <row r="18" spans="1:8" ht="15" customHeight="1">
      <c r="A18" s="7"/>
      <c r="B18" s="76"/>
      <c r="C18" s="76" t="s">
        <v>2</v>
      </c>
      <c r="D18" s="7" t="s">
        <v>26</v>
      </c>
      <c r="E18" s="76"/>
      <c r="F18" s="76"/>
      <c r="G18" s="45"/>
      <c r="H18" s="7"/>
    </row>
    <row r="19" spans="1:8" s="359" customFormat="1" ht="15" customHeight="1">
      <c r="A19" s="400">
        <v>3</v>
      </c>
      <c r="B19" s="401">
        <v>13173</v>
      </c>
      <c r="C19" s="53" t="s">
        <v>278</v>
      </c>
      <c r="D19" s="402" t="s">
        <v>233</v>
      </c>
      <c r="E19" s="385" t="s">
        <v>102</v>
      </c>
      <c r="F19" s="403">
        <v>0</v>
      </c>
      <c r="G19" s="46">
        <v>0</v>
      </c>
      <c r="H19" s="14">
        <f>ROUND((G19*F19),2)</f>
        <v>0</v>
      </c>
    </row>
    <row r="20" spans="1:8" s="359" customFormat="1" ht="15" customHeight="1">
      <c r="A20" s="404"/>
      <c r="B20" s="386"/>
      <c r="C20" s="405"/>
      <c r="D20" s="387" t="s">
        <v>561</v>
      </c>
      <c r="E20" s="388"/>
      <c r="F20" s="406"/>
      <c r="G20" s="337"/>
      <c r="H20" s="24"/>
    </row>
    <row r="21" spans="1:8" s="359" customFormat="1" ht="15" customHeight="1">
      <c r="A21" s="404"/>
      <c r="B21" s="386"/>
      <c r="C21" s="405"/>
      <c r="D21" s="387"/>
      <c r="E21" s="388"/>
      <c r="F21" s="406"/>
      <c r="G21" s="337"/>
      <c r="H21" s="24"/>
    </row>
    <row r="22" spans="1:8" s="359" customFormat="1" ht="15" customHeight="1">
      <c r="A22" s="55">
        <v>4</v>
      </c>
      <c r="B22" s="401">
        <v>17411</v>
      </c>
      <c r="C22" s="53" t="s">
        <v>278</v>
      </c>
      <c r="D22" s="402" t="s">
        <v>237</v>
      </c>
      <c r="E22" s="385" t="s">
        <v>102</v>
      </c>
      <c r="F22" s="403">
        <v>0</v>
      </c>
      <c r="G22" s="46">
        <v>0</v>
      </c>
      <c r="H22" s="14">
        <f>ROUND((G22*F22),2)</f>
        <v>0</v>
      </c>
    </row>
    <row r="23" spans="1:8" s="359" customFormat="1" ht="15" customHeight="1">
      <c r="A23" s="56"/>
      <c r="B23" s="386"/>
      <c r="C23" s="405"/>
      <c r="D23" s="387" t="s">
        <v>561</v>
      </c>
      <c r="E23" s="388"/>
      <c r="F23" s="406"/>
      <c r="G23" s="337"/>
      <c r="H23" s="24"/>
    </row>
    <row r="24" spans="1:8" s="359" customFormat="1" ht="15" customHeight="1">
      <c r="A24" s="56"/>
      <c r="B24" s="386"/>
      <c r="C24" s="405"/>
      <c r="D24" s="387"/>
      <c r="E24" s="388"/>
      <c r="F24" s="406"/>
      <c r="G24" s="337"/>
      <c r="H24" s="24"/>
    </row>
    <row r="25" spans="1:14" ht="15" customHeight="1">
      <c r="A25" s="10"/>
      <c r="B25" s="58"/>
      <c r="C25" s="254" t="s">
        <v>2</v>
      </c>
      <c r="D25" s="10" t="s">
        <v>26</v>
      </c>
      <c r="E25" s="58"/>
      <c r="F25" s="58"/>
      <c r="G25" s="47"/>
      <c r="H25" s="10">
        <f>SUM(H19:H24)</f>
        <v>0</v>
      </c>
      <c r="N25" s="340">
        <f>SUM(N8:N21)</f>
        <v>0</v>
      </c>
    </row>
    <row r="26" spans="1:8" s="359" customFormat="1" ht="15" customHeight="1">
      <c r="A26" s="56"/>
      <c r="B26" s="386"/>
      <c r="C26" s="405"/>
      <c r="D26" s="387"/>
      <c r="E26" s="388"/>
      <c r="F26" s="406"/>
      <c r="G26" s="337"/>
      <c r="H26" s="24"/>
    </row>
    <row r="27" spans="1:8" ht="15" customHeight="1">
      <c r="A27" s="7"/>
      <c r="B27" s="76"/>
      <c r="C27" s="76">
        <v>2</v>
      </c>
      <c r="D27" s="7" t="s">
        <v>27</v>
      </c>
      <c r="E27" s="76"/>
      <c r="F27" s="76"/>
      <c r="G27" s="45"/>
      <c r="H27" s="7"/>
    </row>
    <row r="28" spans="1:8" s="359" customFormat="1" ht="15" customHeight="1">
      <c r="A28" s="55">
        <v>5</v>
      </c>
      <c r="B28" s="401">
        <v>212635</v>
      </c>
      <c r="C28" s="53" t="s">
        <v>278</v>
      </c>
      <c r="D28" s="402" t="s">
        <v>122</v>
      </c>
      <c r="E28" s="385" t="s">
        <v>103</v>
      </c>
      <c r="F28" s="403">
        <v>22</v>
      </c>
      <c r="G28" s="46">
        <v>0</v>
      </c>
      <c r="H28" s="14">
        <f>ROUND((G28*F28),2)</f>
        <v>0</v>
      </c>
    </row>
    <row r="29" spans="1:8" s="359" customFormat="1" ht="15" customHeight="1">
      <c r="A29" s="56"/>
      <c r="B29" s="386"/>
      <c r="C29" s="405"/>
      <c r="D29" s="387" t="s">
        <v>562</v>
      </c>
      <c r="E29" s="388"/>
      <c r="F29" s="406"/>
      <c r="G29" s="337"/>
      <c r="H29" s="24"/>
    </row>
    <row r="30" spans="1:8" s="359" customFormat="1" ht="15" customHeight="1">
      <c r="A30" s="56"/>
      <c r="B30" s="386"/>
      <c r="C30" s="405"/>
      <c r="D30" s="387"/>
      <c r="E30" s="388"/>
      <c r="F30" s="406"/>
      <c r="G30" s="337"/>
      <c r="H30" s="24"/>
    </row>
    <row r="31" spans="1:8" s="359" customFormat="1" ht="15" customHeight="1">
      <c r="A31" s="55">
        <v>6</v>
      </c>
      <c r="B31" s="401">
        <v>22694</v>
      </c>
      <c r="C31" s="53" t="s">
        <v>278</v>
      </c>
      <c r="D31" s="402" t="s">
        <v>660</v>
      </c>
      <c r="E31" s="385" t="s">
        <v>44</v>
      </c>
      <c r="F31" s="403">
        <f>42.6*(24+8)/1000</f>
        <v>1.3632</v>
      </c>
      <c r="G31" s="46">
        <v>0</v>
      </c>
      <c r="H31" s="14">
        <f>ROUND((G31*F31),2)</f>
        <v>0</v>
      </c>
    </row>
    <row r="32" spans="1:8" s="359" customFormat="1" ht="15" customHeight="1">
      <c r="A32" s="56"/>
      <c r="B32" s="386"/>
      <c r="C32" s="405"/>
      <c r="D32" s="387" t="s">
        <v>661</v>
      </c>
      <c r="E32" s="388"/>
      <c r="F32" s="406"/>
      <c r="G32" s="337"/>
      <c r="H32" s="24"/>
    </row>
    <row r="33" spans="1:8" s="359" customFormat="1" ht="15" customHeight="1">
      <c r="A33" s="56"/>
      <c r="B33" s="386"/>
      <c r="C33" s="405"/>
      <c r="D33" s="387"/>
      <c r="E33" s="388"/>
      <c r="F33" s="406"/>
      <c r="G33" s="337"/>
      <c r="H33" s="24"/>
    </row>
    <row r="34" spans="1:8" s="359" customFormat="1" ht="15" customHeight="1">
      <c r="A34" s="55">
        <v>7</v>
      </c>
      <c r="B34" s="401" t="s">
        <v>658</v>
      </c>
      <c r="C34" s="53" t="s">
        <v>278</v>
      </c>
      <c r="D34" s="402" t="s">
        <v>662</v>
      </c>
      <c r="E34" s="385" t="s">
        <v>101</v>
      </c>
      <c r="F34" s="403">
        <f>1.3*8</f>
        <v>10.4</v>
      </c>
      <c r="G34" s="46">
        <v>0</v>
      </c>
      <c r="H34" s="14">
        <f>ROUND((G34*F34),2)</f>
        <v>0</v>
      </c>
    </row>
    <row r="35" spans="1:8" s="359" customFormat="1" ht="15" customHeight="1">
      <c r="A35" s="56"/>
      <c r="B35" s="386"/>
      <c r="C35" s="405"/>
      <c r="D35" s="387" t="s">
        <v>663</v>
      </c>
      <c r="E35" s="388"/>
      <c r="F35" s="406"/>
      <c r="G35" s="337"/>
      <c r="H35" s="24"/>
    </row>
    <row r="36" spans="1:8" s="359" customFormat="1" ht="15" customHeight="1">
      <c r="A36" s="404"/>
      <c r="B36" s="386"/>
      <c r="C36" s="405"/>
      <c r="D36" s="387"/>
      <c r="E36" s="388"/>
      <c r="F36" s="406"/>
      <c r="G36" s="337"/>
      <c r="H36" s="24"/>
    </row>
    <row r="37" spans="1:8" s="359" customFormat="1" ht="15" customHeight="1">
      <c r="A37" s="400">
        <v>8</v>
      </c>
      <c r="B37" s="401">
        <v>227831</v>
      </c>
      <c r="C37" s="53" t="s">
        <v>278</v>
      </c>
      <c r="D37" s="402" t="s">
        <v>48</v>
      </c>
      <c r="E37" s="385" t="s">
        <v>103</v>
      </c>
      <c r="F37" s="403">
        <v>60</v>
      </c>
      <c r="G37" s="46">
        <v>0</v>
      </c>
      <c r="H37" s="14">
        <f>ROUND((G37*F37),2)</f>
        <v>0</v>
      </c>
    </row>
    <row r="38" spans="1:8" s="359" customFormat="1" ht="15" customHeight="1">
      <c r="A38" s="404"/>
      <c r="B38" s="386"/>
      <c r="C38" s="405"/>
      <c r="D38" s="387" t="s">
        <v>189</v>
      </c>
      <c r="E38" s="388"/>
      <c r="F38" s="406"/>
      <c r="G38" s="337"/>
      <c r="H38" s="24"/>
    </row>
    <row r="39" spans="1:8" s="359" customFormat="1" ht="15" customHeight="1">
      <c r="A39" s="404"/>
      <c r="B39" s="386"/>
      <c r="C39" s="405"/>
      <c r="D39" s="387"/>
      <c r="E39" s="388"/>
      <c r="F39" s="406"/>
      <c r="G39" s="337"/>
      <c r="H39" s="24"/>
    </row>
    <row r="40" spans="1:8" s="359" customFormat="1" ht="15" customHeight="1">
      <c r="A40" s="55">
        <v>9</v>
      </c>
      <c r="B40" s="401">
        <v>26115</v>
      </c>
      <c r="C40" s="53" t="s">
        <v>278</v>
      </c>
      <c r="D40" s="402" t="s">
        <v>151</v>
      </c>
      <c r="E40" s="385" t="s">
        <v>103</v>
      </c>
      <c r="F40" s="403">
        <f>3*8</f>
        <v>24</v>
      </c>
      <c r="G40" s="46">
        <v>0</v>
      </c>
      <c r="H40" s="14">
        <f>ROUND((G40*F40),2)</f>
        <v>0</v>
      </c>
    </row>
    <row r="41" spans="1:8" s="359" customFormat="1" ht="15" customHeight="1">
      <c r="A41" s="56"/>
      <c r="B41" s="386"/>
      <c r="C41" s="405"/>
      <c r="D41" s="387" t="s">
        <v>659</v>
      </c>
      <c r="E41" s="388"/>
      <c r="F41" s="406"/>
      <c r="G41" s="337"/>
      <c r="H41" s="24"/>
    </row>
    <row r="42" spans="1:8" s="359" customFormat="1" ht="15" customHeight="1">
      <c r="A42" s="404"/>
      <c r="B42" s="386"/>
      <c r="C42" s="405"/>
      <c r="D42" s="387"/>
      <c r="E42" s="388"/>
      <c r="F42" s="406"/>
      <c r="G42" s="337"/>
      <c r="H42" s="24"/>
    </row>
    <row r="43" spans="1:8" s="359" customFormat="1" ht="15" customHeight="1">
      <c r="A43" s="55">
        <v>10</v>
      </c>
      <c r="B43" s="401">
        <v>26114</v>
      </c>
      <c r="C43" s="53" t="s">
        <v>278</v>
      </c>
      <c r="D43" s="402" t="s">
        <v>184</v>
      </c>
      <c r="E43" s="385" t="s">
        <v>103</v>
      </c>
      <c r="F43" s="403">
        <f>6*6</f>
        <v>36</v>
      </c>
      <c r="G43" s="46">
        <v>0</v>
      </c>
      <c r="H43" s="14">
        <f>ROUND((G43*F43),2)</f>
        <v>0</v>
      </c>
    </row>
    <row r="44" spans="1:8" s="359" customFormat="1" ht="15" customHeight="1">
      <c r="A44" s="56"/>
      <c r="B44" s="386"/>
      <c r="C44" s="405"/>
      <c r="D44" s="387" t="s">
        <v>186</v>
      </c>
      <c r="E44" s="388"/>
      <c r="F44" s="406"/>
      <c r="G44" s="337"/>
      <c r="H44" s="24"/>
    </row>
    <row r="45" spans="1:8" s="359" customFormat="1" ht="15" customHeight="1">
      <c r="A45" s="56"/>
      <c r="B45" s="386"/>
      <c r="C45" s="405"/>
      <c r="D45" s="387"/>
      <c r="E45" s="388"/>
      <c r="F45" s="406"/>
      <c r="G45" s="337"/>
      <c r="H45" s="24"/>
    </row>
    <row r="46" spans="1:8" s="359" customFormat="1" ht="15" customHeight="1">
      <c r="A46" s="55">
        <v>11</v>
      </c>
      <c r="B46" s="401">
        <v>26124</v>
      </c>
      <c r="C46" s="53" t="s">
        <v>278</v>
      </c>
      <c r="D46" s="402" t="s">
        <v>185</v>
      </c>
      <c r="E46" s="385" t="s">
        <v>103</v>
      </c>
      <c r="F46" s="403">
        <f>6*1</f>
        <v>6</v>
      </c>
      <c r="G46" s="46">
        <v>0</v>
      </c>
      <c r="H46" s="14">
        <f>ROUND((G46*F46),2)</f>
        <v>0</v>
      </c>
    </row>
    <row r="47" spans="1:8" s="359" customFormat="1" ht="15" customHeight="1">
      <c r="A47" s="56"/>
      <c r="B47" s="386"/>
      <c r="C47" s="405"/>
      <c r="D47" s="387" t="s">
        <v>187</v>
      </c>
      <c r="E47" s="388"/>
      <c r="F47" s="406"/>
      <c r="G47" s="337"/>
      <c r="H47" s="24"/>
    </row>
    <row r="48" spans="1:8" s="359" customFormat="1" ht="15" customHeight="1">
      <c r="A48" s="56"/>
      <c r="B48" s="386"/>
      <c r="C48" s="405"/>
      <c r="D48" s="387"/>
      <c r="E48" s="388"/>
      <c r="F48" s="406"/>
      <c r="G48" s="337"/>
      <c r="H48" s="24"/>
    </row>
    <row r="49" spans="1:8" s="359" customFormat="1" ht="15" customHeight="1">
      <c r="A49" s="55">
        <v>12</v>
      </c>
      <c r="B49" s="401">
        <v>26134</v>
      </c>
      <c r="C49" s="53" t="s">
        <v>278</v>
      </c>
      <c r="D49" s="402" t="s">
        <v>130</v>
      </c>
      <c r="E49" s="385" t="s">
        <v>103</v>
      </c>
      <c r="F49" s="403">
        <f>6*4.4</f>
        <v>26.400000000000002</v>
      </c>
      <c r="G49" s="46">
        <v>0</v>
      </c>
      <c r="H49" s="14">
        <f>ROUND((G49*F49),2)</f>
        <v>0</v>
      </c>
    </row>
    <row r="50" spans="1:8" s="359" customFormat="1" ht="15" customHeight="1">
      <c r="A50" s="56"/>
      <c r="B50" s="386"/>
      <c r="C50" s="405"/>
      <c r="D50" s="387" t="s">
        <v>188</v>
      </c>
      <c r="E50" s="388"/>
      <c r="F50" s="406"/>
      <c r="G50" s="337"/>
      <c r="H50" s="24"/>
    </row>
    <row r="51" spans="1:8" s="359" customFormat="1" ht="15" customHeight="1">
      <c r="A51" s="404"/>
      <c r="B51" s="386"/>
      <c r="C51" s="405"/>
      <c r="D51" s="387"/>
      <c r="E51" s="388"/>
      <c r="F51" s="406"/>
      <c r="G51" s="337"/>
      <c r="H51" s="24"/>
    </row>
    <row r="52" spans="1:8" s="359" customFormat="1" ht="15" customHeight="1">
      <c r="A52" s="400">
        <v>13</v>
      </c>
      <c r="B52" s="401">
        <v>272325</v>
      </c>
      <c r="C52" s="53" t="s">
        <v>278</v>
      </c>
      <c r="D52" s="402" t="s">
        <v>49</v>
      </c>
      <c r="E52" s="385" t="s">
        <v>102</v>
      </c>
      <c r="F52" s="403">
        <v>12.97</v>
      </c>
      <c r="G52" s="46">
        <v>0</v>
      </c>
      <c r="H52" s="14">
        <f>ROUND((G52*F52),2)</f>
        <v>0</v>
      </c>
    </row>
    <row r="53" spans="1:8" s="359" customFormat="1" ht="15" customHeight="1">
      <c r="A53" s="404"/>
      <c r="B53" s="386"/>
      <c r="C53" s="405"/>
      <c r="D53" s="387" t="s">
        <v>563</v>
      </c>
      <c r="E53" s="388"/>
      <c r="F53" s="406"/>
      <c r="G53" s="337"/>
      <c r="H53" s="24"/>
    </row>
    <row r="54" spans="1:8" s="359" customFormat="1" ht="15" customHeight="1">
      <c r="A54" s="404"/>
      <c r="B54" s="386"/>
      <c r="C54" s="405"/>
      <c r="D54" s="387"/>
      <c r="E54" s="388"/>
      <c r="F54" s="406"/>
      <c r="G54" s="337"/>
      <c r="H54" s="24"/>
    </row>
    <row r="55" spans="1:8" s="359" customFormat="1" ht="15" customHeight="1">
      <c r="A55" s="55">
        <v>14</v>
      </c>
      <c r="B55" s="401">
        <v>272365</v>
      </c>
      <c r="C55" s="53" t="s">
        <v>278</v>
      </c>
      <c r="D55" s="402" t="s">
        <v>143</v>
      </c>
      <c r="E55" s="385" t="s">
        <v>105</v>
      </c>
      <c r="F55" s="403">
        <f>F52*150/1000</f>
        <v>1.9455</v>
      </c>
      <c r="G55" s="46">
        <v>0</v>
      </c>
      <c r="H55" s="14">
        <f>ROUND((G55*F55),2)</f>
        <v>0</v>
      </c>
    </row>
    <row r="56" spans="1:8" s="359" customFormat="1" ht="15" customHeight="1">
      <c r="A56" s="56"/>
      <c r="B56" s="386"/>
      <c r="C56" s="405"/>
      <c r="D56" s="387" t="s">
        <v>564</v>
      </c>
      <c r="E56" s="388"/>
      <c r="F56" s="406"/>
      <c r="G56" s="337"/>
      <c r="H56" s="24"/>
    </row>
    <row r="57" spans="1:8" s="359" customFormat="1" ht="15" customHeight="1">
      <c r="A57" s="56"/>
      <c r="B57" s="386"/>
      <c r="C57" s="405"/>
      <c r="D57" s="387"/>
      <c r="E57" s="388"/>
      <c r="F57" s="406"/>
      <c r="G57" s="337"/>
      <c r="H57" s="24"/>
    </row>
    <row r="58" spans="1:14" ht="15" customHeight="1">
      <c r="A58" s="10"/>
      <c r="B58" s="58"/>
      <c r="C58" s="254">
        <v>2</v>
      </c>
      <c r="D58" s="10" t="s">
        <v>27</v>
      </c>
      <c r="E58" s="58"/>
      <c r="F58" s="58"/>
      <c r="G58" s="47"/>
      <c r="H58" s="10">
        <f>SUM(H28:H57)</f>
        <v>0</v>
      </c>
      <c r="N58" s="340">
        <f>SUM(N38:N54)</f>
        <v>0</v>
      </c>
    </row>
    <row r="59" spans="1:8" s="359" customFormat="1" ht="15" customHeight="1">
      <c r="A59" s="56"/>
      <c r="B59" s="386"/>
      <c r="C59" s="405"/>
      <c r="D59" s="387"/>
      <c r="E59" s="388"/>
      <c r="F59" s="406"/>
      <c r="G59" s="337"/>
      <c r="H59" s="24"/>
    </row>
    <row r="60" spans="1:8" ht="15" customHeight="1">
      <c r="A60" s="7"/>
      <c r="B60" s="76"/>
      <c r="C60" s="76">
        <v>3</v>
      </c>
      <c r="D60" s="7" t="s">
        <v>39</v>
      </c>
      <c r="E60" s="76"/>
      <c r="F60" s="76"/>
      <c r="G60" s="45"/>
      <c r="H60" s="7"/>
    </row>
    <row r="61" spans="1:8" s="359" customFormat="1" ht="15" customHeight="1">
      <c r="A61" s="55">
        <v>15</v>
      </c>
      <c r="B61" s="401">
        <v>342325</v>
      </c>
      <c r="C61" s="53" t="s">
        <v>278</v>
      </c>
      <c r="D61" s="402" t="s">
        <v>565</v>
      </c>
      <c r="E61" s="385" t="s">
        <v>102</v>
      </c>
      <c r="F61" s="403">
        <f>11.95*1.1</f>
        <v>13.145</v>
      </c>
      <c r="G61" s="46">
        <v>0</v>
      </c>
      <c r="H61" s="14">
        <f>ROUND((G61*F61),2)</f>
        <v>0</v>
      </c>
    </row>
    <row r="62" spans="1:8" s="359" customFormat="1" ht="30" customHeight="1">
      <c r="A62" s="56"/>
      <c r="B62" s="386"/>
      <c r="C62" s="405"/>
      <c r="D62" s="387" t="s">
        <v>657</v>
      </c>
      <c r="E62" s="388"/>
      <c r="F62" s="406"/>
      <c r="G62" s="337"/>
      <c r="H62" s="24"/>
    </row>
    <row r="63" spans="1:8" s="359" customFormat="1" ht="15" customHeight="1">
      <c r="A63" s="404"/>
      <c r="B63" s="386"/>
      <c r="C63" s="405"/>
      <c r="D63" s="387"/>
      <c r="E63" s="388"/>
      <c r="F63" s="406"/>
      <c r="G63" s="337"/>
      <c r="H63" s="24"/>
    </row>
    <row r="64" spans="1:8" s="359" customFormat="1" ht="15" customHeight="1">
      <c r="A64" s="400">
        <v>16</v>
      </c>
      <c r="B64" s="401">
        <v>342365</v>
      </c>
      <c r="C64" s="53" t="s">
        <v>278</v>
      </c>
      <c r="D64" s="402" t="s">
        <v>566</v>
      </c>
      <c r="E64" s="385" t="s">
        <v>105</v>
      </c>
      <c r="F64" s="403">
        <f>50*F61/1000</f>
        <v>0.65725</v>
      </c>
      <c r="G64" s="46">
        <v>0</v>
      </c>
      <c r="H64" s="14">
        <f>ROUND((G64*F64),2)</f>
        <v>0</v>
      </c>
    </row>
    <row r="65" spans="1:8" s="359" customFormat="1" ht="15" customHeight="1">
      <c r="A65" s="404"/>
      <c r="B65" s="386"/>
      <c r="C65" s="405"/>
      <c r="D65" s="387" t="s">
        <v>567</v>
      </c>
      <c r="E65" s="388"/>
      <c r="F65" s="406"/>
      <c r="G65" s="337"/>
      <c r="H65" s="24"/>
    </row>
    <row r="66" spans="1:8" s="359" customFormat="1" ht="15" customHeight="1">
      <c r="A66" s="404"/>
      <c r="B66" s="386"/>
      <c r="C66" s="405"/>
      <c r="D66" s="387"/>
      <c r="E66" s="388"/>
      <c r="F66" s="406"/>
      <c r="G66" s="337"/>
      <c r="H66" s="24"/>
    </row>
    <row r="67" spans="1:8" s="359" customFormat="1" ht="15" customHeight="1">
      <c r="A67" s="55">
        <v>17</v>
      </c>
      <c r="B67" s="401">
        <v>342366</v>
      </c>
      <c r="C67" s="53" t="s">
        <v>278</v>
      </c>
      <c r="D67" s="402" t="s">
        <v>568</v>
      </c>
      <c r="E67" s="385" t="s">
        <v>105</v>
      </c>
      <c r="F67" s="403">
        <f>150*F61/1000</f>
        <v>1.97175</v>
      </c>
      <c r="G67" s="46">
        <v>0</v>
      </c>
      <c r="H67" s="14">
        <f>ROUND((G67*F67),2)</f>
        <v>0</v>
      </c>
    </row>
    <row r="68" spans="1:8" s="359" customFormat="1" ht="15" customHeight="1">
      <c r="A68" s="56"/>
      <c r="B68" s="386"/>
      <c r="C68" s="405"/>
      <c r="D68" s="387" t="s">
        <v>569</v>
      </c>
      <c r="E68" s="388"/>
      <c r="F68" s="406"/>
      <c r="G68" s="337"/>
      <c r="H68" s="24"/>
    </row>
    <row r="69" spans="1:8" s="359" customFormat="1" ht="15" customHeight="1">
      <c r="A69" s="404"/>
      <c r="B69" s="386"/>
      <c r="C69" s="405"/>
      <c r="D69" s="387"/>
      <c r="E69" s="388"/>
      <c r="F69" s="406"/>
      <c r="G69" s="337"/>
      <c r="H69" s="24"/>
    </row>
    <row r="70" spans="1:8" s="359" customFormat="1" ht="15" customHeight="1">
      <c r="A70" s="55">
        <v>18</v>
      </c>
      <c r="B70" s="401" t="s">
        <v>162</v>
      </c>
      <c r="C70" s="53" t="s">
        <v>249</v>
      </c>
      <c r="D70" s="402" t="s">
        <v>163</v>
      </c>
      <c r="E70" s="385" t="s">
        <v>101</v>
      </c>
      <c r="F70" s="403">
        <v>22</v>
      </c>
      <c r="G70" s="46">
        <v>0</v>
      </c>
      <c r="H70" s="14">
        <f>ROUND((G70*F70),2)</f>
        <v>0</v>
      </c>
    </row>
    <row r="71" spans="1:8" s="359" customFormat="1" ht="15" customHeight="1">
      <c r="A71" s="56"/>
      <c r="B71" s="386"/>
      <c r="C71" s="405"/>
      <c r="D71" s="387" t="s">
        <v>191</v>
      </c>
      <c r="E71" s="388"/>
      <c r="F71" s="406"/>
      <c r="G71" s="337"/>
      <c r="H71" s="24"/>
    </row>
    <row r="72" spans="1:8" s="359" customFormat="1" ht="67.5" customHeight="1">
      <c r="A72" s="56"/>
      <c r="B72" s="386"/>
      <c r="C72" s="405"/>
      <c r="D72" s="387" t="s">
        <v>190</v>
      </c>
      <c r="E72" s="388"/>
      <c r="F72" s="406"/>
      <c r="G72" s="337"/>
      <c r="H72" s="24"/>
    </row>
    <row r="73" spans="1:8" s="359" customFormat="1" ht="15" customHeight="1">
      <c r="A73" s="56"/>
      <c r="B73" s="386"/>
      <c r="C73" s="405"/>
      <c r="D73" s="387"/>
      <c r="E73" s="388"/>
      <c r="F73" s="406"/>
      <c r="G73" s="337"/>
      <c r="H73" s="24"/>
    </row>
    <row r="74" spans="1:14" ht="15" customHeight="1">
      <c r="A74" s="10"/>
      <c r="B74" s="58"/>
      <c r="C74" s="254">
        <v>3</v>
      </c>
      <c r="D74" s="10" t="s">
        <v>39</v>
      </c>
      <c r="E74" s="58"/>
      <c r="F74" s="58"/>
      <c r="G74" s="47"/>
      <c r="H74" s="10">
        <f>SUM(H61:H73)</f>
        <v>0</v>
      </c>
      <c r="N74" s="340">
        <f>SUM(N59:N70)</f>
        <v>0</v>
      </c>
    </row>
    <row r="75" spans="1:8" s="359" customFormat="1" ht="15" customHeight="1">
      <c r="A75" s="56"/>
      <c r="B75" s="386"/>
      <c r="C75" s="405"/>
      <c r="D75" s="387"/>
      <c r="E75" s="388"/>
      <c r="F75" s="406"/>
      <c r="G75" s="337"/>
      <c r="H75" s="24"/>
    </row>
    <row r="76" spans="1:8" ht="15" customHeight="1">
      <c r="A76" s="7"/>
      <c r="B76" s="76"/>
      <c r="C76" s="76">
        <v>4</v>
      </c>
      <c r="D76" s="7" t="s">
        <v>40</v>
      </c>
      <c r="E76" s="76"/>
      <c r="F76" s="76"/>
      <c r="G76" s="45"/>
      <c r="H76" s="7"/>
    </row>
    <row r="77" spans="1:8" s="359" customFormat="1" ht="15" customHeight="1">
      <c r="A77" s="400">
        <v>19</v>
      </c>
      <c r="B77" s="401">
        <v>451314</v>
      </c>
      <c r="C77" s="53" t="s">
        <v>278</v>
      </c>
      <c r="D77" s="402" t="s">
        <v>127</v>
      </c>
      <c r="E77" s="385" t="s">
        <v>102</v>
      </c>
      <c r="F77" s="403">
        <v>2.61</v>
      </c>
      <c r="G77" s="46">
        <v>0</v>
      </c>
      <c r="H77" s="14">
        <f>ROUND((G77*F77),2)</f>
        <v>0</v>
      </c>
    </row>
    <row r="78" spans="1:8" s="359" customFormat="1" ht="15" customHeight="1">
      <c r="A78" s="404"/>
      <c r="B78" s="386"/>
      <c r="C78" s="405"/>
      <c r="D78" s="387" t="s">
        <v>572</v>
      </c>
      <c r="E78" s="388"/>
      <c r="F78" s="406"/>
      <c r="G78" s="337"/>
      <c r="H78" s="24"/>
    </row>
    <row r="79" spans="1:8" s="359" customFormat="1" ht="15" customHeight="1">
      <c r="A79" s="404"/>
      <c r="B79" s="386"/>
      <c r="C79" s="405"/>
      <c r="D79" s="387"/>
      <c r="E79" s="388"/>
      <c r="F79" s="406"/>
      <c r="G79" s="337"/>
      <c r="H79" s="24"/>
    </row>
    <row r="80" spans="1:8" s="359" customFormat="1" ht="15" customHeight="1">
      <c r="A80" s="400">
        <v>20</v>
      </c>
      <c r="B80" s="401">
        <v>457313</v>
      </c>
      <c r="C80" s="53" t="s">
        <v>278</v>
      </c>
      <c r="D80" s="402" t="s">
        <v>570</v>
      </c>
      <c r="E80" s="385" t="s">
        <v>102</v>
      </c>
      <c r="F80" s="403">
        <v>1.5</v>
      </c>
      <c r="G80" s="46">
        <v>0</v>
      </c>
      <c r="H80" s="14">
        <f>ROUND((G80*F80),2)</f>
        <v>0</v>
      </c>
    </row>
    <row r="81" spans="1:8" s="359" customFormat="1" ht="15" customHeight="1">
      <c r="A81" s="404"/>
      <c r="B81" s="386"/>
      <c r="C81" s="405"/>
      <c r="D81" s="387" t="s">
        <v>571</v>
      </c>
      <c r="E81" s="388"/>
      <c r="F81" s="406"/>
      <c r="G81" s="337"/>
      <c r="H81" s="24"/>
    </row>
    <row r="82" spans="1:8" s="359" customFormat="1" ht="15" customHeight="1">
      <c r="A82" s="404"/>
      <c r="B82" s="386"/>
      <c r="C82" s="405"/>
      <c r="D82" s="387"/>
      <c r="E82" s="388"/>
      <c r="F82" s="406"/>
      <c r="G82" s="337"/>
      <c r="H82" s="24"/>
    </row>
    <row r="83" spans="1:8" s="359" customFormat="1" ht="15" customHeight="1">
      <c r="A83" s="400">
        <v>21</v>
      </c>
      <c r="B83" s="401">
        <v>457314</v>
      </c>
      <c r="C83" s="53" t="s">
        <v>278</v>
      </c>
      <c r="D83" s="402" t="s">
        <v>573</v>
      </c>
      <c r="E83" s="385" t="s">
        <v>102</v>
      </c>
      <c r="F83" s="403">
        <v>0.4</v>
      </c>
      <c r="G83" s="46">
        <v>0</v>
      </c>
      <c r="H83" s="14">
        <f>ROUND((G83*F83),2)</f>
        <v>0</v>
      </c>
    </row>
    <row r="84" spans="1:8" s="359" customFormat="1" ht="15" customHeight="1">
      <c r="A84" s="404"/>
      <c r="B84" s="386"/>
      <c r="C84" s="405"/>
      <c r="D84" s="387" t="s">
        <v>574</v>
      </c>
      <c r="E84" s="388"/>
      <c r="F84" s="406"/>
      <c r="G84" s="337"/>
      <c r="H84" s="24"/>
    </row>
    <row r="85" spans="1:8" s="359" customFormat="1" ht="15" customHeight="1">
      <c r="A85" s="404"/>
      <c r="B85" s="386"/>
      <c r="C85" s="405"/>
      <c r="D85" s="387"/>
      <c r="E85" s="388"/>
      <c r="F85" s="406"/>
      <c r="G85" s="337"/>
      <c r="H85" s="24"/>
    </row>
    <row r="86" spans="1:14" ht="15" customHeight="1">
      <c r="A86" s="10"/>
      <c r="B86" s="58"/>
      <c r="C86" s="254">
        <v>4</v>
      </c>
      <c r="D86" s="10" t="s">
        <v>40</v>
      </c>
      <c r="E86" s="58"/>
      <c r="F86" s="58"/>
      <c r="G86" s="47"/>
      <c r="H86" s="10">
        <f>SUM(H77:H85)</f>
        <v>0</v>
      </c>
      <c r="N86" s="340">
        <f>SUM(N72:N82)</f>
        <v>0</v>
      </c>
    </row>
    <row r="87" spans="1:8" s="359" customFormat="1" ht="15" customHeight="1">
      <c r="A87" s="404"/>
      <c r="B87" s="386"/>
      <c r="C87" s="405"/>
      <c r="D87" s="387"/>
      <c r="E87" s="388"/>
      <c r="F87" s="406"/>
      <c r="G87" s="337"/>
      <c r="H87" s="24"/>
    </row>
    <row r="88" spans="1:8" ht="15" customHeight="1">
      <c r="A88" s="7"/>
      <c r="B88" s="76"/>
      <c r="C88" s="76">
        <v>7</v>
      </c>
      <c r="D88" s="7" t="s">
        <v>41</v>
      </c>
      <c r="E88" s="76"/>
      <c r="F88" s="76"/>
      <c r="G88" s="45"/>
      <c r="H88" s="7"/>
    </row>
    <row r="89" spans="1:8" s="359" customFormat="1" ht="15" customHeight="1">
      <c r="A89" s="55">
        <v>22</v>
      </c>
      <c r="B89" s="401">
        <v>72121</v>
      </c>
      <c r="C89" s="53" t="s">
        <v>278</v>
      </c>
      <c r="D89" s="402" t="s">
        <v>164</v>
      </c>
      <c r="E89" s="385" t="s">
        <v>161</v>
      </c>
      <c r="F89" s="403">
        <v>1</v>
      </c>
      <c r="G89" s="46">
        <v>0</v>
      </c>
      <c r="H89" s="14">
        <f>ROUND((G89*F89),2)</f>
        <v>0</v>
      </c>
    </row>
    <row r="90" spans="1:8" s="359" customFormat="1" ht="15" customHeight="1">
      <c r="A90" s="56"/>
      <c r="B90" s="386"/>
      <c r="C90" s="405"/>
      <c r="D90" s="387"/>
      <c r="E90" s="388"/>
      <c r="F90" s="406"/>
      <c r="G90" s="337"/>
      <c r="H90" s="24"/>
    </row>
    <row r="91" spans="1:8" s="359" customFormat="1" ht="15" customHeight="1">
      <c r="A91" s="55">
        <v>23</v>
      </c>
      <c r="B91" s="401" t="s">
        <v>165</v>
      </c>
      <c r="C91" s="53" t="s">
        <v>249</v>
      </c>
      <c r="D91" s="402" t="s">
        <v>166</v>
      </c>
      <c r="E91" s="385" t="s">
        <v>103</v>
      </c>
      <c r="F91" s="403">
        <v>2</v>
      </c>
      <c r="G91" s="46">
        <v>0</v>
      </c>
      <c r="H91" s="14">
        <f>ROUND((G91*F91),2)</f>
        <v>0</v>
      </c>
    </row>
    <row r="92" spans="1:8" s="359" customFormat="1" ht="60.75" customHeight="1">
      <c r="A92" s="56"/>
      <c r="B92" s="386"/>
      <c r="C92" s="405"/>
      <c r="D92" s="387" t="s">
        <v>192</v>
      </c>
      <c r="E92" s="388"/>
      <c r="F92" s="406"/>
      <c r="G92" s="337"/>
      <c r="H92" s="24"/>
    </row>
    <row r="93" spans="1:8" s="359" customFormat="1" ht="15" customHeight="1">
      <c r="A93" s="56"/>
      <c r="B93" s="386"/>
      <c r="C93" s="405"/>
      <c r="D93" s="387"/>
      <c r="E93" s="388"/>
      <c r="F93" s="406"/>
      <c r="G93" s="337"/>
      <c r="H93" s="24"/>
    </row>
    <row r="94" spans="1:8" s="359" customFormat="1" ht="15" customHeight="1">
      <c r="A94" s="55">
        <v>24</v>
      </c>
      <c r="B94" s="401" t="s">
        <v>167</v>
      </c>
      <c r="C94" s="53" t="s">
        <v>249</v>
      </c>
      <c r="D94" s="402" t="s">
        <v>168</v>
      </c>
      <c r="E94" s="385" t="s">
        <v>103</v>
      </c>
      <c r="F94" s="403">
        <v>14</v>
      </c>
      <c r="G94" s="46">
        <v>0</v>
      </c>
      <c r="H94" s="14">
        <f>ROUND((G94*F94),2)</f>
        <v>0</v>
      </c>
    </row>
    <row r="95" spans="1:8" s="359" customFormat="1" ht="60" customHeight="1">
      <c r="A95" s="56"/>
      <c r="B95" s="386"/>
      <c r="C95" s="405"/>
      <c r="D95" s="387" t="s">
        <v>192</v>
      </c>
      <c r="E95" s="388"/>
      <c r="F95" s="406"/>
      <c r="G95" s="337"/>
      <c r="H95" s="24"/>
    </row>
    <row r="96" spans="1:8" s="359" customFormat="1" ht="15" customHeight="1">
      <c r="A96" s="56"/>
      <c r="B96" s="386"/>
      <c r="C96" s="405"/>
      <c r="D96" s="387"/>
      <c r="E96" s="388"/>
      <c r="F96" s="406"/>
      <c r="G96" s="337"/>
      <c r="H96" s="24"/>
    </row>
    <row r="97" spans="1:8" s="359" customFormat="1" ht="15" customHeight="1">
      <c r="A97" s="55">
        <v>25</v>
      </c>
      <c r="B97" s="401" t="s">
        <v>169</v>
      </c>
      <c r="C97" s="53" t="s">
        <v>249</v>
      </c>
      <c r="D97" s="402" t="s">
        <v>170</v>
      </c>
      <c r="E97" s="385" t="s">
        <v>171</v>
      </c>
      <c r="F97" s="403">
        <f>127.2+39.2+11.7</f>
        <v>178.1</v>
      </c>
      <c r="G97" s="46">
        <v>0</v>
      </c>
      <c r="H97" s="14">
        <f>ROUND((G97*F97),2)</f>
        <v>0</v>
      </c>
    </row>
    <row r="98" spans="1:8" s="359" customFormat="1" ht="30" customHeight="1">
      <c r="A98" s="56"/>
      <c r="B98" s="386"/>
      <c r="C98" s="407"/>
      <c r="D98" s="387" t="s">
        <v>193</v>
      </c>
      <c r="E98" s="388"/>
      <c r="F98" s="406"/>
      <c r="G98" s="337"/>
      <c r="H98" s="24"/>
    </row>
    <row r="99" spans="1:8" s="359" customFormat="1" ht="15" customHeight="1">
      <c r="A99" s="56"/>
      <c r="B99" s="386"/>
      <c r="C99" s="407"/>
      <c r="D99" s="387"/>
      <c r="E99" s="388"/>
      <c r="F99" s="406"/>
      <c r="G99" s="337"/>
      <c r="H99" s="24"/>
    </row>
    <row r="100" spans="1:8" s="359" customFormat="1" ht="15" customHeight="1">
      <c r="A100" s="55">
        <v>26</v>
      </c>
      <c r="B100" s="401" t="s">
        <v>172</v>
      </c>
      <c r="C100" s="53" t="s">
        <v>249</v>
      </c>
      <c r="D100" s="402" t="s">
        <v>173</v>
      </c>
      <c r="E100" s="385" t="s">
        <v>171</v>
      </c>
      <c r="F100" s="403">
        <f>1385+80+300</f>
        <v>1765</v>
      </c>
      <c r="G100" s="46">
        <v>0</v>
      </c>
      <c r="H100" s="14">
        <f>ROUND((G100*F100),2)</f>
        <v>0</v>
      </c>
    </row>
    <row r="101" spans="1:8" s="359" customFormat="1" ht="214.5" customHeight="1">
      <c r="A101" s="56"/>
      <c r="B101" s="386"/>
      <c r="C101" s="407"/>
      <c r="D101" s="408" t="s">
        <v>194</v>
      </c>
      <c r="E101" s="388"/>
      <c r="F101" s="406"/>
      <c r="G101" s="337"/>
      <c r="H101" s="24"/>
    </row>
    <row r="102" spans="1:8" s="359" customFormat="1" ht="232.5" customHeight="1">
      <c r="A102" s="56"/>
      <c r="B102" s="386"/>
      <c r="C102" s="407"/>
      <c r="D102" s="408" t="s">
        <v>195</v>
      </c>
      <c r="E102" s="388"/>
      <c r="F102" s="406"/>
      <c r="G102" s="337"/>
      <c r="H102" s="24"/>
    </row>
    <row r="103" spans="1:8" s="359" customFormat="1" ht="15" customHeight="1">
      <c r="A103" s="56"/>
      <c r="B103" s="386"/>
      <c r="C103" s="407"/>
      <c r="D103" s="387"/>
      <c r="E103" s="388"/>
      <c r="F103" s="406"/>
      <c r="G103" s="337"/>
      <c r="H103" s="24"/>
    </row>
    <row r="104" spans="1:8" s="359" customFormat="1" ht="15" customHeight="1">
      <c r="A104" s="55">
        <v>27</v>
      </c>
      <c r="B104" s="401" t="s">
        <v>174</v>
      </c>
      <c r="C104" s="53" t="s">
        <v>249</v>
      </c>
      <c r="D104" s="402" t="s">
        <v>175</v>
      </c>
      <c r="E104" s="385" t="s">
        <v>176</v>
      </c>
      <c r="F104" s="403">
        <v>1</v>
      </c>
      <c r="G104" s="46">
        <v>0</v>
      </c>
      <c r="H104" s="14">
        <f>ROUND((G104*F104),2)</f>
        <v>0</v>
      </c>
    </row>
    <row r="105" spans="1:8" s="359" customFormat="1" ht="30" customHeight="1">
      <c r="A105" s="56"/>
      <c r="B105" s="386"/>
      <c r="C105" s="407"/>
      <c r="D105" s="387" t="s">
        <v>196</v>
      </c>
      <c r="E105" s="388"/>
      <c r="F105" s="406"/>
      <c r="G105" s="337"/>
      <c r="H105" s="24"/>
    </row>
    <row r="106" spans="1:8" s="359" customFormat="1" ht="15" customHeight="1">
      <c r="A106" s="56"/>
      <c r="B106" s="386"/>
      <c r="C106" s="407"/>
      <c r="D106" s="387"/>
      <c r="E106" s="388"/>
      <c r="F106" s="406"/>
      <c r="G106" s="337"/>
      <c r="H106" s="24"/>
    </row>
    <row r="107" spans="1:8" s="359" customFormat="1" ht="15" customHeight="1">
      <c r="A107" s="55">
        <v>28</v>
      </c>
      <c r="B107" s="401" t="s">
        <v>177</v>
      </c>
      <c r="C107" s="53" t="s">
        <v>249</v>
      </c>
      <c r="D107" s="402" t="s">
        <v>178</v>
      </c>
      <c r="E107" s="385" t="s">
        <v>101</v>
      </c>
      <c r="F107" s="403">
        <v>60</v>
      </c>
      <c r="G107" s="46">
        <v>0</v>
      </c>
      <c r="H107" s="14">
        <f>ROUND((G107*F107),2)</f>
        <v>0</v>
      </c>
    </row>
    <row r="108" spans="1:8" s="359" customFormat="1" ht="207" customHeight="1">
      <c r="A108" s="56"/>
      <c r="B108" s="386"/>
      <c r="C108" s="407"/>
      <c r="D108" s="387" t="s">
        <v>197</v>
      </c>
      <c r="E108" s="388"/>
      <c r="F108" s="406"/>
      <c r="G108" s="337"/>
      <c r="H108" s="24"/>
    </row>
    <row r="109" spans="1:8" s="359" customFormat="1" ht="15" customHeight="1">
      <c r="A109" s="56"/>
      <c r="B109" s="386"/>
      <c r="C109" s="407"/>
      <c r="D109" s="387"/>
      <c r="E109" s="388"/>
      <c r="F109" s="406"/>
      <c r="G109" s="337"/>
      <c r="H109" s="24"/>
    </row>
    <row r="110" spans="1:8" s="359" customFormat="1" ht="15" customHeight="1">
      <c r="A110" s="55">
        <v>29</v>
      </c>
      <c r="B110" s="401">
        <v>78382</v>
      </c>
      <c r="C110" s="53" t="s">
        <v>278</v>
      </c>
      <c r="D110" s="402" t="s">
        <v>179</v>
      </c>
      <c r="E110" s="385" t="s">
        <v>101</v>
      </c>
      <c r="F110" s="403">
        <v>62</v>
      </c>
      <c r="G110" s="46">
        <v>0</v>
      </c>
      <c r="H110" s="14">
        <f>ROUND((G110*F110),2)</f>
        <v>0</v>
      </c>
    </row>
    <row r="111" spans="1:8" s="359" customFormat="1" ht="15" customHeight="1">
      <c r="A111" s="56"/>
      <c r="B111" s="386"/>
      <c r="C111" s="405"/>
      <c r="D111" s="387" t="s">
        <v>576</v>
      </c>
      <c r="E111" s="388"/>
      <c r="F111" s="406"/>
      <c r="G111" s="337"/>
      <c r="H111" s="24"/>
    </row>
    <row r="112" spans="1:8" s="359" customFormat="1" ht="15" customHeight="1">
      <c r="A112" s="56"/>
      <c r="B112" s="386"/>
      <c r="C112" s="405"/>
      <c r="D112" s="387"/>
      <c r="E112" s="388"/>
      <c r="F112" s="406"/>
      <c r="G112" s="337"/>
      <c r="H112" s="24"/>
    </row>
    <row r="113" spans="1:8" s="359" customFormat="1" ht="15" customHeight="1">
      <c r="A113" s="55">
        <v>30</v>
      </c>
      <c r="B113" s="401">
        <v>78386</v>
      </c>
      <c r="C113" s="53" t="s">
        <v>278</v>
      </c>
      <c r="D113" s="402" t="s">
        <v>180</v>
      </c>
      <c r="E113" s="385" t="s">
        <v>101</v>
      </c>
      <c r="F113" s="403">
        <f>(2.65*1.65+0.3*(2*2.65+2*1.65))</f>
        <v>6.952499999999999</v>
      </c>
      <c r="G113" s="46">
        <v>0</v>
      </c>
      <c r="H113" s="14">
        <f>ROUND((G113*F113),2)</f>
        <v>0</v>
      </c>
    </row>
    <row r="114" spans="1:8" s="359" customFormat="1" ht="30" customHeight="1">
      <c r="A114" s="56"/>
      <c r="B114" s="386"/>
      <c r="C114" s="405"/>
      <c r="D114" s="387" t="s">
        <v>198</v>
      </c>
      <c r="E114" s="388"/>
      <c r="F114" s="406"/>
      <c r="G114" s="337"/>
      <c r="H114" s="24"/>
    </row>
    <row r="115" spans="1:8" s="359" customFormat="1" ht="15" customHeight="1">
      <c r="A115" s="56"/>
      <c r="B115" s="386"/>
      <c r="C115" s="405"/>
      <c r="D115" s="387"/>
      <c r="E115" s="388"/>
      <c r="F115" s="406"/>
      <c r="G115" s="337"/>
      <c r="H115" s="24"/>
    </row>
    <row r="116" spans="1:8" s="359" customFormat="1" ht="15" customHeight="1">
      <c r="A116" s="56"/>
      <c r="B116" s="386"/>
      <c r="C116" s="405"/>
      <c r="D116" s="387"/>
      <c r="E116" s="388"/>
      <c r="F116" s="406"/>
      <c r="G116" s="337"/>
      <c r="H116" s="24"/>
    </row>
    <row r="117" spans="1:8" s="359" customFormat="1" ht="15" customHeight="1">
      <c r="A117" s="55">
        <v>31</v>
      </c>
      <c r="B117" s="401" t="s">
        <v>181</v>
      </c>
      <c r="C117" s="53" t="s">
        <v>249</v>
      </c>
      <c r="D117" s="402" t="s">
        <v>182</v>
      </c>
      <c r="E117" s="385" t="s">
        <v>101</v>
      </c>
      <c r="F117" s="403">
        <v>53</v>
      </c>
      <c r="G117" s="46">
        <v>0</v>
      </c>
      <c r="H117" s="14">
        <f>ROUND((G117*F117),2)</f>
        <v>0</v>
      </c>
    </row>
    <row r="118" spans="1:8" s="359" customFormat="1" ht="271.5" customHeight="1">
      <c r="A118" s="56"/>
      <c r="B118" s="386"/>
      <c r="C118" s="407"/>
      <c r="D118" s="387" t="s">
        <v>199</v>
      </c>
      <c r="E118" s="388"/>
      <c r="F118" s="406"/>
      <c r="G118" s="337"/>
      <c r="H118" s="24"/>
    </row>
    <row r="119" spans="1:8" s="359" customFormat="1" ht="15" customHeight="1">
      <c r="A119" s="56"/>
      <c r="B119" s="386"/>
      <c r="C119" s="407"/>
      <c r="D119" s="387"/>
      <c r="E119" s="388"/>
      <c r="F119" s="406"/>
      <c r="G119" s="337"/>
      <c r="H119" s="24"/>
    </row>
    <row r="120" spans="1:14" ht="15" customHeight="1">
      <c r="A120" s="10"/>
      <c r="B120" s="58"/>
      <c r="C120" s="254">
        <v>7</v>
      </c>
      <c r="D120" s="10" t="s">
        <v>41</v>
      </c>
      <c r="E120" s="58"/>
      <c r="F120" s="58"/>
      <c r="G120" s="47"/>
      <c r="H120" s="10">
        <f>SUM(H89:H119)</f>
        <v>0</v>
      </c>
      <c r="N120" s="340">
        <f>SUM(N105:N117)</f>
        <v>0</v>
      </c>
    </row>
    <row r="121" spans="1:8" s="359" customFormat="1" ht="15" customHeight="1">
      <c r="A121" s="56"/>
      <c r="B121" s="386"/>
      <c r="C121" s="407"/>
      <c r="D121" s="387"/>
      <c r="E121" s="388"/>
      <c r="F121" s="406"/>
      <c r="G121" s="337"/>
      <c r="H121" s="24"/>
    </row>
    <row r="122" spans="1:8" ht="15" customHeight="1">
      <c r="A122" s="7"/>
      <c r="B122" s="76"/>
      <c r="C122" s="76">
        <v>8</v>
      </c>
      <c r="D122" s="7" t="s">
        <v>100</v>
      </c>
      <c r="E122" s="76"/>
      <c r="F122" s="76"/>
      <c r="G122" s="45"/>
      <c r="H122" s="7"/>
    </row>
    <row r="123" spans="1:8" s="359" customFormat="1" ht="15" customHeight="1">
      <c r="A123" s="55">
        <v>32</v>
      </c>
      <c r="B123" s="401">
        <v>87634</v>
      </c>
      <c r="C123" s="53" t="s">
        <v>278</v>
      </c>
      <c r="D123" s="402" t="s">
        <v>202</v>
      </c>
      <c r="E123" s="385" t="s">
        <v>103</v>
      </c>
      <c r="F123" s="403">
        <v>3</v>
      </c>
      <c r="G123" s="46">
        <v>0</v>
      </c>
      <c r="H123" s="14">
        <f>ROUND((G123*F123),2)</f>
        <v>0</v>
      </c>
    </row>
    <row r="124" spans="1:8" s="359" customFormat="1" ht="15" customHeight="1">
      <c r="A124" s="56"/>
      <c r="B124" s="386"/>
      <c r="C124" s="407"/>
      <c r="D124" s="387" t="s">
        <v>370</v>
      </c>
      <c r="E124" s="388"/>
      <c r="F124" s="406"/>
      <c r="G124" s="337"/>
      <c r="H124" s="24"/>
    </row>
    <row r="125" spans="1:8" s="359" customFormat="1" ht="15" customHeight="1">
      <c r="A125" s="56"/>
      <c r="B125" s="386"/>
      <c r="C125" s="407"/>
      <c r="D125" s="387"/>
      <c r="E125" s="388"/>
      <c r="F125" s="406"/>
      <c r="G125" s="337"/>
      <c r="H125" s="24"/>
    </row>
    <row r="126" spans="1:14" ht="15" customHeight="1">
      <c r="A126" s="10"/>
      <c r="B126" s="58"/>
      <c r="C126" s="254">
        <v>8</v>
      </c>
      <c r="D126" s="10" t="s">
        <v>100</v>
      </c>
      <c r="E126" s="58"/>
      <c r="F126" s="58"/>
      <c r="G126" s="47"/>
      <c r="H126" s="10">
        <f>SUM(H123:H125)</f>
        <v>0</v>
      </c>
      <c r="N126" s="340">
        <f>SUM(N114:N122)</f>
        <v>0</v>
      </c>
    </row>
    <row r="127" spans="1:8" s="359" customFormat="1" ht="15" customHeight="1">
      <c r="A127" s="56"/>
      <c r="B127" s="386"/>
      <c r="C127" s="407"/>
      <c r="D127" s="387"/>
      <c r="E127" s="388"/>
      <c r="F127" s="406"/>
      <c r="G127" s="337"/>
      <c r="H127" s="24"/>
    </row>
    <row r="128" spans="1:8" ht="15" customHeight="1">
      <c r="A128" s="7"/>
      <c r="B128" s="76"/>
      <c r="C128" s="76">
        <v>9</v>
      </c>
      <c r="D128" s="7" t="s">
        <v>575</v>
      </c>
      <c r="E128" s="76"/>
      <c r="F128" s="76"/>
      <c r="G128" s="45"/>
      <c r="H128" s="7"/>
    </row>
    <row r="129" spans="1:8" s="359" customFormat="1" ht="15" customHeight="1">
      <c r="A129" s="55">
        <v>33</v>
      </c>
      <c r="B129" s="401">
        <v>91722</v>
      </c>
      <c r="C129" s="53" t="s">
        <v>278</v>
      </c>
      <c r="D129" s="402" t="s">
        <v>183</v>
      </c>
      <c r="E129" s="385" t="s">
        <v>103</v>
      </c>
      <c r="F129" s="403">
        <v>10</v>
      </c>
      <c r="G129" s="46">
        <v>0</v>
      </c>
      <c r="H129" s="14">
        <f>ROUND((G129*F129),2)</f>
        <v>0</v>
      </c>
    </row>
    <row r="130" spans="1:8" s="359" customFormat="1" ht="15" customHeight="1">
      <c r="A130" s="56"/>
      <c r="B130" s="386"/>
      <c r="C130" s="405"/>
      <c r="D130" s="387" t="s">
        <v>577</v>
      </c>
      <c r="E130" s="388"/>
      <c r="F130" s="406"/>
      <c r="G130" s="337"/>
      <c r="H130" s="24"/>
    </row>
    <row r="131" spans="1:8" s="359" customFormat="1" ht="15" customHeight="1">
      <c r="A131" s="404"/>
      <c r="B131" s="386"/>
      <c r="C131" s="405"/>
      <c r="D131" s="387"/>
      <c r="E131" s="388"/>
      <c r="F131" s="406"/>
      <c r="G131" s="337"/>
      <c r="H131" s="24"/>
    </row>
    <row r="132" spans="1:14" ht="15" customHeight="1">
      <c r="A132" s="10"/>
      <c r="B132" s="58"/>
      <c r="C132" s="254">
        <v>9</v>
      </c>
      <c r="D132" s="10" t="s">
        <v>575</v>
      </c>
      <c r="E132" s="58"/>
      <c r="F132" s="58"/>
      <c r="G132" s="47"/>
      <c r="H132" s="10">
        <f>SUM(H129:H131)</f>
        <v>0</v>
      </c>
      <c r="N132" s="340">
        <f>SUM(N122:N128)</f>
        <v>0</v>
      </c>
    </row>
    <row r="134" spans="1:8" s="409" customFormat="1" ht="15.75" customHeight="1">
      <c r="A134" s="252"/>
      <c r="B134" s="252"/>
      <c r="C134" s="134"/>
      <c r="D134" s="134" t="s">
        <v>34</v>
      </c>
      <c r="E134" s="252"/>
      <c r="F134" s="134"/>
      <c r="G134" s="253"/>
      <c r="H134" s="21">
        <f>SUM(H9:H132)/2</f>
        <v>0</v>
      </c>
    </row>
  </sheetData>
  <sheetProtection sheet="1" objects="1" scenarios="1" selectLockedCells="1"/>
  <protectedRanges>
    <protectedRange sqref="A21:F21 A36:F36 A42:F42 A51:F51 A54:F54 A63:F63 A66:F66 A69:F69 A79:F79 A82:F82 A131:F131" name="Oblast3_4"/>
    <protectedRange sqref="A20:F20 A19:B19 D19:F19" name="Oblast3_4_2"/>
    <protectedRange sqref="E58:F58 E74:F74 E86:F86 E120:F120 E126:F126 E132:F132 E22:F26" name="Oblast3_4_3"/>
    <protectedRange sqref="A29:F30 A28:B28 D28:F28 A32:F33 A31:B31 D31:F31 D34:F34 A34:B34 A35:F35" name="Oblast3_4_4"/>
    <protectedRange sqref="B38:D39 B37 D37" name="Oblast3"/>
    <protectedRange sqref="A37:A39 E37:F39" name="Oblast3_4_5"/>
    <protectedRange sqref="B44:D45 B43 D43 B47:D48 B46 D46 B50:D50 B49 D49 B41:D41 B40 D40" name="Oblast3_1"/>
    <protectedRange sqref="E43:F50 E40:F41" name="Oblast3_4_6"/>
    <protectedRange sqref="A52:A53 E52:F53" name="Oblast3_4_7"/>
    <protectedRange sqref="B56:D57 B55 D55 B59:D59" name="Oblast3_2"/>
    <protectedRange sqref="E55:F57 E59:F59" name="Oblast3_4_8"/>
    <protectedRange sqref="B62:D62 B61 D61" name="Oblast3_3"/>
    <protectedRange sqref="E61:F62" name="Oblast3_4_9"/>
    <protectedRange sqref="B65:D65 B64 D64" name="Oblast3_5"/>
    <protectedRange sqref="A64:A65 E64:F65" name="Oblast3_4_10"/>
    <protectedRange sqref="B68:D68 B67 D67" name="Oblast3_6"/>
    <protectedRange sqref="E67:F68" name="Oblast3_4_11"/>
    <protectedRange sqref="B71:D73 B70 D70 B75:D75" name="Oblast3_7"/>
    <protectedRange sqref="E70:F73 E75:F75" name="Oblast3_4_12"/>
    <protectedRange sqref="B78:D78 B77 D77" name="Oblast3_8"/>
    <protectedRange sqref="A77:A78 E77:F78" name="Oblast3_4_13"/>
    <protectedRange sqref="B81:D81 B80 D80" name="Oblast3_9"/>
    <protectedRange sqref="A80:A81 E80:F81" name="Oblast3_4_14"/>
    <protectedRange sqref="B84:D85 B83 D83 B87:D87" name="Oblast3_10"/>
    <protectedRange sqref="E83:F85 A83:A85 E87:F87 A87" name="Oblast3_4_15"/>
    <protectedRange sqref="A124:D125 A90:D90 A89:B89 D89 A92:D93 A91:B91 D91 A95:D96 A94:B94 D94 A98:D99 A97:B97 D97 A101:D103 A100:B100 D100 A105:D106 A104:B104 D104 A108:D109 A107:B107 D107 A111:D112 A110:B110 D110 A114:D116 A113:B113 D113 A118:D119 A117:B117 D117 A127:D127 A121:D121" name="Oblast3_11"/>
    <protectedRange sqref="E124:F125 E127:F127 E121:F121 E89:F119" name="Oblast3_4_16"/>
    <protectedRange sqref="A130:D130 A123:B123 D123 A129:B129 D129" name="Oblast3_12"/>
    <protectedRange sqref="E129:F130 E123:F123" name="Oblast3_4_17"/>
  </protectedRanges>
  <autoFilter ref="A1:A134"/>
  <mergeCells count="6">
    <mergeCell ref="A5:A6"/>
    <mergeCell ref="B5:B6"/>
    <mergeCell ref="D5:D6"/>
    <mergeCell ref="E5:E6"/>
    <mergeCell ref="F5:F6"/>
    <mergeCell ref="C5:C6"/>
  </mergeCells>
  <printOptions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&amp;C&amp;A
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zoomScale="85" zoomScaleNormal="85" zoomScalePageLayoutView="0" workbookViewId="0" topLeftCell="A1">
      <pane ySplit="7" topLeftCell="A8" activePane="bottomLeft" state="frozen"/>
      <selection pane="topLeft" activeCell="B19" sqref="B19"/>
      <selection pane="bottomLeft" activeCell="G10" sqref="G10"/>
    </sheetView>
  </sheetViews>
  <sheetFormatPr defaultColWidth="9.140625" defaultRowHeight="12.75" customHeight="1"/>
  <cols>
    <col min="1" max="1" width="6.7109375" style="340" customWidth="1"/>
    <col min="2" max="2" width="12.7109375" style="340" customWidth="1"/>
    <col min="3" max="3" width="17.7109375" style="340" customWidth="1"/>
    <col min="4" max="4" width="75.7109375" style="340" customWidth="1"/>
    <col min="5" max="6" width="10.7109375" style="338" customWidth="1"/>
    <col min="7" max="7" width="15.7109375" style="339" customWidth="1"/>
    <col min="8" max="8" width="15.7109375" style="340" customWidth="1"/>
    <col min="9" max="9" width="13.28125" style="340" customWidth="1"/>
    <col min="10" max="14" width="9.140625" style="340" customWidth="1"/>
    <col min="15" max="16" width="9.140625" style="340" hidden="1" customWidth="1"/>
    <col min="17" max="16384" width="9.140625" style="340" customWidth="1"/>
  </cols>
  <sheetData>
    <row r="1" ht="12.75" customHeight="1">
      <c r="A1" s="5"/>
    </row>
    <row r="2" spans="1:5" ht="24.75" customHeight="1">
      <c r="A2" s="342" t="s">
        <v>92</v>
      </c>
      <c r="C2" s="5"/>
      <c r="D2" s="5"/>
      <c r="E2" s="1"/>
    </row>
    <row r="3" spans="1:5" ht="24.75" customHeight="1">
      <c r="A3" s="342" t="s">
        <v>500</v>
      </c>
      <c r="C3" s="5"/>
      <c r="D3" s="5"/>
      <c r="E3" s="1"/>
    </row>
    <row r="4" spans="1:5" ht="24.75" customHeight="1">
      <c r="A4" s="342" t="s">
        <v>422</v>
      </c>
      <c r="C4" s="5"/>
      <c r="D4" s="5"/>
      <c r="E4" s="1"/>
    </row>
    <row r="5" spans="1:16" ht="34.5" customHeight="1">
      <c r="A5" s="416" t="s">
        <v>1</v>
      </c>
      <c r="B5" s="412" t="s">
        <v>3</v>
      </c>
      <c r="C5" s="416" t="s">
        <v>253</v>
      </c>
      <c r="D5" s="416" t="s">
        <v>4</v>
      </c>
      <c r="E5" s="416" t="s">
        <v>5</v>
      </c>
      <c r="F5" s="419" t="s">
        <v>6</v>
      </c>
      <c r="G5" s="19" t="s">
        <v>254</v>
      </c>
      <c r="H5" s="67" t="s">
        <v>255</v>
      </c>
      <c r="O5" s="340" t="s">
        <v>9</v>
      </c>
      <c r="P5" s="340" t="s">
        <v>0</v>
      </c>
    </row>
    <row r="6" spans="1:15" ht="14.25">
      <c r="A6" s="417"/>
      <c r="B6" s="418"/>
      <c r="C6" s="417"/>
      <c r="D6" s="417"/>
      <c r="E6" s="417"/>
      <c r="F6" s="420"/>
      <c r="G6" s="44" t="s">
        <v>7</v>
      </c>
      <c r="H6" s="68" t="s">
        <v>8</v>
      </c>
      <c r="O6" s="340" t="s">
        <v>0</v>
      </c>
    </row>
    <row r="7" spans="1:8" ht="15.75" thickBot="1">
      <c r="A7" s="59" t="s">
        <v>2</v>
      </c>
      <c r="B7" s="60" t="s">
        <v>10</v>
      </c>
      <c r="C7" s="59" t="s">
        <v>11</v>
      </c>
      <c r="D7" s="59" t="s">
        <v>12</v>
      </c>
      <c r="E7" s="59" t="s">
        <v>13</v>
      </c>
      <c r="F7" s="59">
        <v>6</v>
      </c>
      <c r="G7" s="61" t="s">
        <v>14</v>
      </c>
      <c r="H7" s="62" t="s">
        <v>15</v>
      </c>
    </row>
    <row r="8" spans="1:8" ht="15" thickTop="1">
      <c r="A8" s="33"/>
      <c r="B8" s="33"/>
      <c r="C8" s="33"/>
      <c r="D8" s="33"/>
      <c r="E8" s="33"/>
      <c r="F8" s="33"/>
      <c r="G8" s="49"/>
      <c r="H8" s="33"/>
    </row>
    <row r="9" spans="1:8" ht="12.75" customHeight="1">
      <c r="A9" s="7"/>
      <c r="B9" s="7"/>
      <c r="C9" s="7"/>
      <c r="D9" s="39"/>
      <c r="E9" s="76"/>
      <c r="F9" s="95"/>
      <c r="G9" s="50"/>
      <c r="H9" s="8"/>
    </row>
    <row r="10" spans="1:16" ht="26.25" customHeight="1">
      <c r="A10" s="12">
        <v>1</v>
      </c>
      <c r="B10" s="12" t="s">
        <v>420</v>
      </c>
      <c r="C10" s="53" t="s">
        <v>278</v>
      </c>
      <c r="D10" s="12" t="s">
        <v>159</v>
      </c>
      <c r="E10" s="53" t="s">
        <v>160</v>
      </c>
      <c r="F10" s="93">
        <v>1</v>
      </c>
      <c r="G10" s="46">
        <v>0</v>
      </c>
      <c r="H10" s="14">
        <f>ROUND((G10*F10),2)</f>
        <v>0</v>
      </c>
      <c r="O10" s="340" t="e">
        <f>REKAPITULACE!#REF!</f>
        <v>#REF!</v>
      </c>
      <c r="P10" s="340" t="e">
        <f>ROUND(O10/100*#REF!,2)</f>
        <v>#REF!</v>
      </c>
    </row>
    <row r="11" spans="1:8" ht="15" customHeight="1">
      <c r="A11" s="28"/>
      <c r="B11" s="28"/>
      <c r="C11" s="28"/>
      <c r="D11" s="28" t="s">
        <v>421</v>
      </c>
      <c r="E11" s="77"/>
      <c r="F11" s="133"/>
      <c r="G11" s="341"/>
      <c r="H11" s="26"/>
    </row>
    <row r="12" spans="1:16" ht="12.75" customHeight="1">
      <c r="A12" s="22"/>
      <c r="B12" s="22"/>
      <c r="C12" s="22"/>
      <c r="D12" s="22"/>
      <c r="E12" s="41"/>
      <c r="F12" s="94"/>
      <c r="G12" s="337"/>
      <c r="H12" s="24"/>
      <c r="P12" s="340" t="e">
        <f>SUM(P10:P10)</f>
        <v>#REF!</v>
      </c>
    </row>
    <row r="14" spans="1:8" ht="24.75" customHeight="1">
      <c r="A14" s="10"/>
      <c r="B14" s="10"/>
      <c r="C14" s="10"/>
      <c r="D14" s="134" t="s">
        <v>34</v>
      </c>
      <c r="E14" s="58"/>
      <c r="F14" s="58"/>
      <c r="G14" s="47"/>
      <c r="H14" s="21">
        <f>SUM(H8:H12)</f>
        <v>0</v>
      </c>
    </row>
  </sheetData>
  <sheetProtection sheet="1" objects="1" scenarios="1" selectLockedCells="1"/>
  <mergeCells count="6"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84" r:id="rId1"/>
  <headerFooter alignWithMargins="0">
    <oddFooter>&amp;C&amp;A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4"/>
  <sheetViews>
    <sheetView showGridLines="0" zoomScale="85" zoomScaleNormal="85" zoomScalePageLayoutView="0" workbookViewId="0" topLeftCell="A1">
      <pane ySplit="7" topLeftCell="A83" activePane="bottomLeft" state="frozen"/>
      <selection pane="topLeft" activeCell="B19" sqref="B19"/>
      <selection pane="bottomLeft" activeCell="G91" sqref="G91"/>
    </sheetView>
  </sheetViews>
  <sheetFormatPr defaultColWidth="9.140625" defaultRowHeight="12.75" customHeight="1"/>
  <cols>
    <col min="1" max="1" width="6.7109375" style="338" customWidth="1"/>
    <col min="2" max="2" width="12.7109375" style="338" customWidth="1"/>
    <col min="3" max="3" width="17.7109375" style="338" customWidth="1"/>
    <col min="4" max="4" width="75.7109375" style="340" customWidth="1"/>
    <col min="5" max="6" width="10.7109375" style="338" customWidth="1"/>
    <col min="7" max="7" width="15.7109375" style="339" customWidth="1"/>
    <col min="8" max="8" width="15.7109375" style="340" customWidth="1"/>
    <col min="9" max="9" width="13.28125" style="340" customWidth="1"/>
    <col min="10" max="12" width="9.140625" style="340" customWidth="1"/>
    <col min="13" max="14" width="9.140625" style="340" hidden="1" customWidth="1"/>
    <col min="15" max="16384" width="9.140625" style="340" customWidth="1"/>
  </cols>
  <sheetData>
    <row r="2" spans="1:8" s="347" customFormat="1" ht="24.75" customHeight="1">
      <c r="A2" s="342" t="s">
        <v>92</v>
      </c>
      <c r="B2" s="343"/>
      <c r="C2" s="70"/>
      <c r="D2" s="71"/>
      <c r="E2" s="70"/>
      <c r="F2" s="344"/>
      <c r="G2" s="345"/>
      <c r="H2" s="346"/>
    </row>
    <row r="3" spans="1:8" s="347" customFormat="1" ht="24.75" customHeight="1">
      <c r="A3" s="342" t="s">
        <v>416</v>
      </c>
      <c r="B3" s="343"/>
      <c r="C3" s="70"/>
      <c r="D3" s="71"/>
      <c r="E3" s="70"/>
      <c r="F3" s="344"/>
      <c r="G3" s="345"/>
      <c r="H3" s="346"/>
    </row>
    <row r="4" spans="1:8" s="347" customFormat="1" ht="24.75" customHeight="1">
      <c r="A4" s="342" t="s">
        <v>422</v>
      </c>
      <c r="B4" s="343"/>
      <c r="C4" s="70"/>
      <c r="D4" s="71"/>
      <c r="E4" s="70"/>
      <c r="F4" s="344"/>
      <c r="G4" s="345"/>
      <c r="H4" s="346"/>
    </row>
    <row r="5" spans="1:14" ht="30" customHeight="1">
      <c r="A5" s="410" t="s">
        <v>1</v>
      </c>
      <c r="B5" s="412" t="s">
        <v>3</v>
      </c>
      <c r="C5" s="410" t="s">
        <v>253</v>
      </c>
      <c r="D5" s="410" t="s">
        <v>4</v>
      </c>
      <c r="E5" s="410" t="s">
        <v>5</v>
      </c>
      <c r="F5" s="414" t="s">
        <v>6</v>
      </c>
      <c r="G5" s="19" t="s">
        <v>254</v>
      </c>
      <c r="H5" s="67" t="s">
        <v>255</v>
      </c>
      <c r="M5" s="340" t="s">
        <v>9</v>
      </c>
      <c r="N5" s="340" t="s">
        <v>0</v>
      </c>
    </row>
    <row r="6" spans="1:13" ht="14.25">
      <c r="A6" s="411"/>
      <c r="B6" s="413"/>
      <c r="C6" s="411"/>
      <c r="D6" s="411"/>
      <c r="E6" s="411"/>
      <c r="F6" s="415"/>
      <c r="G6" s="44" t="s">
        <v>7</v>
      </c>
      <c r="H6" s="68" t="s">
        <v>8</v>
      </c>
      <c r="M6" s="340" t="s">
        <v>0</v>
      </c>
    </row>
    <row r="7" spans="1:8" ht="14.25">
      <c r="A7" s="4" t="s">
        <v>2</v>
      </c>
      <c r="B7" s="4" t="s">
        <v>10</v>
      </c>
      <c r="C7" s="4" t="s">
        <v>11</v>
      </c>
      <c r="D7" s="4" t="s">
        <v>12</v>
      </c>
      <c r="E7" s="4" t="s">
        <v>13</v>
      </c>
      <c r="F7" s="4">
        <v>6</v>
      </c>
      <c r="G7" s="44" t="s">
        <v>14</v>
      </c>
      <c r="H7" s="4" t="s">
        <v>15</v>
      </c>
    </row>
    <row r="8" spans="1:8" ht="14.25">
      <c r="A8" s="33"/>
      <c r="B8" s="33"/>
      <c r="C8" s="33"/>
      <c r="D8" s="33"/>
      <c r="E8" s="33"/>
      <c r="F8" s="33"/>
      <c r="G8" s="49"/>
      <c r="H8" s="33"/>
    </row>
    <row r="9" spans="1:8" ht="12.75" customHeight="1">
      <c r="A9" s="76"/>
      <c r="B9" s="76"/>
      <c r="C9" s="76" t="s">
        <v>17</v>
      </c>
      <c r="D9" s="7" t="s">
        <v>16</v>
      </c>
      <c r="E9" s="76"/>
      <c r="F9" s="76"/>
      <c r="G9" s="45"/>
      <c r="H9" s="7"/>
    </row>
    <row r="10" spans="1:8" ht="15" customHeight="1">
      <c r="A10" s="78">
        <v>1</v>
      </c>
      <c r="B10" s="79" t="s">
        <v>36</v>
      </c>
      <c r="C10" s="53" t="s">
        <v>278</v>
      </c>
      <c r="D10" s="6" t="s">
        <v>18</v>
      </c>
      <c r="E10" s="53" t="s">
        <v>44</v>
      </c>
      <c r="F10" s="255">
        <f>192.7*1.9</f>
        <v>366.12999999999994</v>
      </c>
      <c r="G10" s="48">
        <v>0</v>
      </c>
      <c r="H10" s="9">
        <f>ROUND((G10*F10),2)</f>
        <v>0</v>
      </c>
    </row>
    <row r="11" spans="1:8" ht="15" customHeight="1">
      <c r="A11" s="349"/>
      <c r="B11" s="349"/>
      <c r="C11" s="349"/>
      <c r="D11" s="15" t="s">
        <v>600</v>
      </c>
      <c r="E11" s="349"/>
      <c r="F11" s="349"/>
      <c r="G11" s="350"/>
      <c r="H11" s="351"/>
    </row>
    <row r="12" spans="1:8" ht="15" customHeight="1">
      <c r="A12" s="349"/>
      <c r="B12" s="349"/>
      <c r="C12" s="349"/>
      <c r="D12" s="15"/>
      <c r="E12" s="349"/>
      <c r="F12" s="349"/>
      <c r="G12" s="350"/>
      <c r="H12" s="351"/>
    </row>
    <row r="13" spans="1:8" ht="15" customHeight="1">
      <c r="A13" s="78">
        <v>2</v>
      </c>
      <c r="B13" s="79" t="s">
        <v>622</v>
      </c>
      <c r="C13" s="53" t="s">
        <v>278</v>
      </c>
      <c r="D13" s="6" t="s">
        <v>623</v>
      </c>
      <c r="E13" s="53" t="s">
        <v>44</v>
      </c>
      <c r="F13" s="255">
        <f>79.5*1.9</f>
        <v>151.04999999999998</v>
      </c>
      <c r="G13" s="48">
        <v>0</v>
      </c>
      <c r="H13" s="9">
        <f>ROUND((G13*F13),2)</f>
        <v>0</v>
      </c>
    </row>
    <row r="14" spans="1:8" ht="15" customHeight="1">
      <c r="A14" s="349"/>
      <c r="B14" s="349"/>
      <c r="C14" s="349"/>
      <c r="D14" s="15" t="s">
        <v>624</v>
      </c>
      <c r="E14" s="349"/>
      <c r="F14" s="349"/>
      <c r="G14" s="350"/>
      <c r="H14" s="351"/>
    </row>
    <row r="15" spans="1:8" ht="15" customHeight="1">
      <c r="A15" s="349"/>
      <c r="B15" s="349"/>
      <c r="C15" s="349"/>
      <c r="D15" s="15"/>
      <c r="E15" s="349"/>
      <c r="F15" s="349"/>
      <c r="G15" s="350"/>
      <c r="H15" s="351"/>
    </row>
    <row r="16" spans="1:8" ht="15" customHeight="1">
      <c r="A16" s="53">
        <v>3</v>
      </c>
      <c r="B16" s="53" t="s">
        <v>21</v>
      </c>
      <c r="C16" s="53" t="s">
        <v>278</v>
      </c>
      <c r="D16" s="12" t="s">
        <v>22</v>
      </c>
      <c r="E16" s="53" t="s">
        <v>23</v>
      </c>
      <c r="F16" s="93">
        <v>1</v>
      </c>
      <c r="G16" s="46">
        <v>0</v>
      </c>
      <c r="H16" s="14">
        <f>ROUND((G16*F16),2)</f>
        <v>0</v>
      </c>
    </row>
    <row r="17" spans="1:8" ht="15" customHeight="1">
      <c r="A17" s="41"/>
      <c r="B17" s="41"/>
      <c r="C17" s="41"/>
      <c r="D17" s="22" t="s">
        <v>625</v>
      </c>
      <c r="E17" s="41"/>
      <c r="F17" s="94"/>
      <c r="G17" s="337"/>
      <c r="H17" s="24"/>
    </row>
    <row r="18" spans="1:8" ht="15" customHeight="1">
      <c r="A18" s="42"/>
      <c r="B18" s="42"/>
      <c r="C18" s="42"/>
      <c r="D18" s="73"/>
      <c r="E18" s="42"/>
      <c r="F18" s="256"/>
      <c r="G18" s="352"/>
      <c r="H18" s="75"/>
    </row>
    <row r="19" spans="1:8" ht="15" customHeight="1">
      <c r="A19" s="53">
        <v>4</v>
      </c>
      <c r="B19" s="53" t="s">
        <v>24</v>
      </c>
      <c r="C19" s="53" t="s">
        <v>278</v>
      </c>
      <c r="D19" s="12" t="s">
        <v>25</v>
      </c>
      <c r="E19" s="53" t="s">
        <v>23</v>
      </c>
      <c r="F19" s="93">
        <v>1</v>
      </c>
      <c r="G19" s="46">
        <v>0</v>
      </c>
      <c r="H19" s="14">
        <f>ROUND((G19*F19),2)</f>
        <v>0</v>
      </c>
    </row>
    <row r="20" spans="1:8" ht="15" customHeight="1">
      <c r="A20" s="41"/>
      <c r="B20" s="41"/>
      <c r="C20" s="41"/>
      <c r="D20" s="22" t="s">
        <v>627</v>
      </c>
      <c r="E20" s="41"/>
      <c r="F20" s="94"/>
      <c r="G20" s="337"/>
      <c r="H20" s="24"/>
    </row>
    <row r="21" spans="1:8" ht="15" customHeight="1">
      <c r="A21" s="41"/>
      <c r="B21" s="41"/>
      <c r="C21" s="41"/>
      <c r="D21" s="22"/>
      <c r="E21" s="41"/>
      <c r="F21" s="94"/>
      <c r="G21" s="337"/>
      <c r="H21" s="24"/>
    </row>
    <row r="22" spans="1:14" ht="15" customHeight="1">
      <c r="A22" s="58"/>
      <c r="B22" s="58"/>
      <c r="C22" s="58" t="s">
        <v>17</v>
      </c>
      <c r="D22" s="10" t="s">
        <v>16</v>
      </c>
      <c r="E22" s="58"/>
      <c r="F22" s="58"/>
      <c r="G22" s="47"/>
      <c r="H22" s="10">
        <f>SUM(H10:H19)</f>
        <v>0</v>
      </c>
      <c r="N22" s="340">
        <f>SUM(N10:N19)</f>
        <v>0</v>
      </c>
    </row>
    <row r="23" ht="15" customHeight="1"/>
    <row r="24" spans="1:8" ht="15" customHeight="1">
      <c r="A24" s="76"/>
      <c r="B24" s="76"/>
      <c r="C24" s="76" t="s">
        <v>2</v>
      </c>
      <c r="D24" s="7" t="s">
        <v>26</v>
      </c>
      <c r="E24" s="76"/>
      <c r="F24" s="76"/>
      <c r="G24" s="45"/>
      <c r="H24" s="7"/>
    </row>
    <row r="25" spans="1:8" ht="15" customHeight="1">
      <c r="A25" s="53">
        <v>5</v>
      </c>
      <c r="B25" s="53">
        <v>17131</v>
      </c>
      <c r="C25" s="53" t="s">
        <v>278</v>
      </c>
      <c r="D25" s="12" t="s">
        <v>88</v>
      </c>
      <c r="E25" s="53" t="s">
        <v>43</v>
      </c>
      <c r="F25" s="93">
        <v>107.1</v>
      </c>
      <c r="G25" s="46">
        <v>0</v>
      </c>
      <c r="H25" s="14">
        <f>ROUND((G25*F25),2)</f>
        <v>0</v>
      </c>
    </row>
    <row r="26" spans="1:8" ht="15" customHeight="1">
      <c r="A26" s="41"/>
      <c r="B26" s="41"/>
      <c r="C26" s="41"/>
      <c r="D26" s="22" t="s">
        <v>601</v>
      </c>
      <c r="E26" s="41"/>
      <c r="F26" s="94"/>
      <c r="G26" s="337"/>
      <c r="H26" s="24"/>
    </row>
    <row r="27" spans="1:8" ht="15" customHeight="1">
      <c r="A27" s="41"/>
      <c r="B27" s="41"/>
      <c r="C27" s="41"/>
      <c r="D27" s="22"/>
      <c r="E27" s="41"/>
      <c r="F27" s="94"/>
      <c r="G27" s="337"/>
      <c r="H27" s="24"/>
    </row>
    <row r="28" spans="1:8" ht="15" customHeight="1">
      <c r="A28" s="53">
        <v>6</v>
      </c>
      <c r="B28" s="53">
        <v>17120</v>
      </c>
      <c r="C28" s="53" t="s">
        <v>278</v>
      </c>
      <c r="D28" s="12" t="s">
        <v>91</v>
      </c>
      <c r="E28" s="53" t="s">
        <v>43</v>
      </c>
      <c r="F28" s="93">
        <v>192.7</v>
      </c>
      <c r="G28" s="46">
        <v>0</v>
      </c>
      <c r="H28" s="14">
        <f>ROUND((G28*F28),2)</f>
        <v>0</v>
      </c>
    </row>
    <row r="29" spans="1:8" ht="15" customHeight="1">
      <c r="A29" s="41"/>
      <c r="B29" s="41"/>
      <c r="C29" s="41"/>
      <c r="D29" s="22" t="s">
        <v>578</v>
      </c>
      <c r="E29" s="41"/>
      <c r="F29" s="94"/>
      <c r="G29" s="337"/>
      <c r="H29" s="24"/>
    </row>
    <row r="30" spans="1:8" ht="15" customHeight="1">
      <c r="A30" s="41"/>
      <c r="B30" s="41"/>
      <c r="C30" s="41"/>
      <c r="D30" s="22"/>
      <c r="E30" s="41"/>
      <c r="F30" s="94"/>
      <c r="G30" s="337"/>
      <c r="H30" s="24"/>
    </row>
    <row r="31" spans="1:8" ht="15" customHeight="1">
      <c r="A31" s="53">
        <v>7</v>
      </c>
      <c r="B31" s="53">
        <v>122731</v>
      </c>
      <c r="C31" s="53" t="s">
        <v>278</v>
      </c>
      <c r="D31" s="12" t="s">
        <v>89</v>
      </c>
      <c r="E31" s="53" t="s">
        <v>43</v>
      </c>
      <c r="F31" s="93">
        <v>299.8</v>
      </c>
      <c r="G31" s="46">
        <v>0</v>
      </c>
      <c r="H31" s="14">
        <f>ROUND((G31*F31),2)</f>
        <v>0</v>
      </c>
    </row>
    <row r="32" spans="1:8" ht="15" customHeight="1">
      <c r="A32" s="41"/>
      <c r="B32" s="41"/>
      <c r="C32" s="41"/>
      <c r="D32" s="22" t="s">
        <v>90</v>
      </c>
      <c r="E32" s="41"/>
      <c r="F32" s="94"/>
      <c r="G32" s="337"/>
      <c r="H32" s="24"/>
    </row>
    <row r="33" spans="1:8" ht="15" customHeight="1">
      <c r="A33" s="41"/>
      <c r="B33" s="41"/>
      <c r="C33" s="41"/>
      <c r="D33" s="22"/>
      <c r="E33" s="41"/>
      <c r="F33" s="94"/>
      <c r="G33" s="337"/>
      <c r="H33" s="24"/>
    </row>
    <row r="34" spans="1:8" ht="15" customHeight="1">
      <c r="A34" s="53">
        <v>8</v>
      </c>
      <c r="B34" s="53" t="s">
        <v>86</v>
      </c>
      <c r="C34" s="53" t="s">
        <v>278</v>
      </c>
      <c r="D34" s="12" t="s">
        <v>85</v>
      </c>
      <c r="E34" s="53" t="s">
        <v>84</v>
      </c>
      <c r="F34" s="93">
        <f>192.7*10</f>
        <v>1927</v>
      </c>
      <c r="G34" s="46">
        <v>0</v>
      </c>
      <c r="H34" s="14">
        <f>ROUND((G34*F34),2)</f>
        <v>0</v>
      </c>
    </row>
    <row r="35" spans="1:8" ht="15" customHeight="1">
      <c r="A35" s="41"/>
      <c r="B35" s="41"/>
      <c r="C35" s="41"/>
      <c r="D35" s="22" t="s">
        <v>87</v>
      </c>
      <c r="E35" s="41"/>
      <c r="F35" s="94"/>
      <c r="G35" s="337"/>
      <c r="H35" s="24"/>
    </row>
    <row r="36" spans="1:8" ht="15" customHeight="1">
      <c r="A36" s="41"/>
      <c r="B36" s="41"/>
      <c r="C36" s="41"/>
      <c r="D36" s="22"/>
      <c r="E36" s="41"/>
      <c r="F36" s="94"/>
      <c r="G36" s="337"/>
      <c r="H36" s="24"/>
    </row>
    <row r="37" spans="1:8" ht="15" customHeight="1">
      <c r="A37" s="53">
        <v>9</v>
      </c>
      <c r="B37" s="53">
        <v>125736</v>
      </c>
      <c r="C37" s="53" t="s">
        <v>278</v>
      </c>
      <c r="D37" s="12" t="s">
        <v>620</v>
      </c>
      <c r="E37" s="53" t="s">
        <v>43</v>
      </c>
      <c r="F37" s="93">
        <f>530*0.15</f>
        <v>79.5</v>
      </c>
      <c r="G37" s="46">
        <v>0</v>
      </c>
      <c r="H37" s="14">
        <f>ROUND((G37*F37),2)</f>
        <v>0</v>
      </c>
    </row>
    <row r="38" spans="1:8" ht="15" customHeight="1">
      <c r="A38" s="41"/>
      <c r="B38" s="41"/>
      <c r="C38" s="41"/>
      <c r="D38" s="22" t="s">
        <v>621</v>
      </c>
      <c r="E38" s="41"/>
      <c r="F38" s="94"/>
      <c r="G38" s="337"/>
      <c r="H38" s="24"/>
    </row>
    <row r="39" spans="1:8" ht="15" customHeight="1">
      <c r="A39" s="41"/>
      <c r="B39" s="41"/>
      <c r="C39" s="41"/>
      <c r="D39" s="22"/>
      <c r="E39" s="41"/>
      <c r="F39" s="94"/>
      <c r="G39" s="337"/>
      <c r="H39" s="24"/>
    </row>
    <row r="40" spans="1:8" ht="15" customHeight="1">
      <c r="A40" s="53">
        <v>10</v>
      </c>
      <c r="B40" s="53">
        <v>13173</v>
      </c>
      <c r="C40" s="53" t="s">
        <v>278</v>
      </c>
      <c r="D40" s="12" t="s">
        <v>233</v>
      </c>
      <c r="E40" s="53" t="s">
        <v>43</v>
      </c>
      <c r="F40" s="93">
        <f>8*7*1.5</f>
        <v>84</v>
      </c>
      <c r="G40" s="46">
        <v>0</v>
      </c>
      <c r="H40" s="109">
        <f>ROUND((G40*F40),2)</f>
        <v>0</v>
      </c>
    </row>
    <row r="41" spans="1:8" ht="30" customHeight="1">
      <c r="A41" s="41"/>
      <c r="B41" s="41"/>
      <c r="C41" s="41"/>
      <c r="D41" s="22" t="s">
        <v>613</v>
      </c>
      <c r="E41" s="41"/>
      <c r="F41" s="94"/>
      <c r="G41" s="337"/>
      <c r="H41" s="24"/>
    </row>
    <row r="42" ht="15" customHeight="1"/>
    <row r="43" spans="1:8" ht="15" customHeight="1">
      <c r="A43" s="53">
        <v>11</v>
      </c>
      <c r="B43" s="53">
        <v>17411</v>
      </c>
      <c r="C43" s="53" t="s">
        <v>278</v>
      </c>
      <c r="D43" s="12" t="s">
        <v>237</v>
      </c>
      <c r="E43" s="53" t="s">
        <v>43</v>
      </c>
      <c r="F43" s="93">
        <f>8*7*1.5</f>
        <v>84</v>
      </c>
      <c r="G43" s="46">
        <v>0</v>
      </c>
      <c r="H43" s="109">
        <f>ROUND((G43*F43),2)</f>
        <v>0</v>
      </c>
    </row>
    <row r="44" spans="1:8" ht="15" customHeight="1">
      <c r="A44" s="41"/>
      <c r="B44" s="41"/>
      <c r="C44" s="41"/>
      <c r="D44" s="22" t="s">
        <v>599</v>
      </c>
      <c r="E44" s="41"/>
      <c r="F44" s="94"/>
      <c r="G44" s="337"/>
      <c r="H44" s="24"/>
    </row>
    <row r="45" ht="15" customHeight="1"/>
    <row r="46" spans="1:8" ht="15" customHeight="1">
      <c r="A46" s="53">
        <v>12</v>
      </c>
      <c r="B46" s="79" t="s">
        <v>589</v>
      </c>
      <c r="C46" s="53" t="s">
        <v>278</v>
      </c>
      <c r="D46" s="34" t="s">
        <v>590</v>
      </c>
      <c r="E46" s="53" t="s">
        <v>45</v>
      </c>
      <c r="F46" s="100">
        <v>376</v>
      </c>
      <c r="G46" s="101">
        <v>0</v>
      </c>
      <c r="H46" s="102">
        <f>G46*F46</f>
        <v>0</v>
      </c>
    </row>
    <row r="47" spans="1:8" ht="45" customHeight="1">
      <c r="A47" s="41"/>
      <c r="B47" s="128"/>
      <c r="C47" s="41"/>
      <c r="D47" s="40" t="s">
        <v>669</v>
      </c>
      <c r="E47" s="41"/>
      <c r="F47" s="103"/>
      <c r="G47" s="353"/>
      <c r="H47" s="104"/>
    </row>
    <row r="48" spans="1:8" ht="15" customHeight="1">
      <c r="A48" s="41"/>
      <c r="B48" s="128"/>
      <c r="C48" s="41"/>
      <c r="D48" s="40"/>
      <c r="E48" s="41"/>
      <c r="F48" s="103"/>
      <c r="G48" s="353"/>
      <c r="H48" s="104"/>
    </row>
    <row r="49" spans="1:8" ht="15" customHeight="1">
      <c r="A49" s="53">
        <v>13</v>
      </c>
      <c r="B49" s="79" t="s">
        <v>617</v>
      </c>
      <c r="C49" s="53" t="s">
        <v>278</v>
      </c>
      <c r="D49" s="34" t="s">
        <v>618</v>
      </c>
      <c r="E49" s="53" t="s">
        <v>45</v>
      </c>
      <c r="F49" s="100">
        <v>530</v>
      </c>
      <c r="G49" s="101">
        <v>0</v>
      </c>
      <c r="H49" s="102">
        <f>G49*F49</f>
        <v>0</v>
      </c>
    </row>
    <row r="50" spans="1:8" ht="30" customHeight="1">
      <c r="A50" s="41"/>
      <c r="B50" s="128"/>
      <c r="C50" s="41"/>
      <c r="D50" s="40" t="s">
        <v>619</v>
      </c>
      <c r="E50" s="41"/>
      <c r="F50" s="103"/>
      <c r="G50" s="353"/>
      <c r="H50" s="104"/>
    </row>
    <row r="51" spans="1:8" ht="15" customHeight="1">
      <c r="A51" s="41"/>
      <c r="B51" s="41"/>
      <c r="C51" s="41"/>
      <c r="D51" s="22"/>
      <c r="E51" s="41"/>
      <c r="F51" s="94"/>
      <c r="G51" s="337"/>
      <c r="H51" s="24"/>
    </row>
    <row r="52" spans="1:14" ht="15" customHeight="1">
      <c r="A52" s="58"/>
      <c r="B52" s="58"/>
      <c r="C52" s="58" t="s">
        <v>2</v>
      </c>
      <c r="D52" s="10" t="s">
        <v>26</v>
      </c>
      <c r="E52" s="58"/>
      <c r="F52" s="58"/>
      <c r="G52" s="47"/>
      <c r="H52" s="10">
        <f>SUM(H25:H49)</f>
        <v>0</v>
      </c>
      <c r="N52" s="340">
        <f>SUM(N25:N35)</f>
        <v>0</v>
      </c>
    </row>
    <row r="53" spans="1:8" s="354" customFormat="1" ht="15" customHeight="1">
      <c r="A53" s="251"/>
      <c r="B53" s="251"/>
      <c r="C53" s="251"/>
      <c r="D53" s="250"/>
      <c r="E53" s="251"/>
      <c r="F53" s="251"/>
      <c r="G53" s="45"/>
      <c r="H53" s="250"/>
    </row>
    <row r="54" spans="1:8" ht="15" customHeight="1">
      <c r="A54" s="76"/>
      <c r="B54" s="76"/>
      <c r="C54" s="76">
        <v>2</v>
      </c>
      <c r="D54" s="7" t="s">
        <v>27</v>
      </c>
      <c r="E54" s="76"/>
      <c r="F54" s="76"/>
      <c r="G54" s="45"/>
      <c r="H54" s="7"/>
    </row>
    <row r="55" spans="1:8" s="354" customFormat="1" ht="15" customHeight="1">
      <c r="A55" s="53">
        <v>14</v>
      </c>
      <c r="B55" s="79" t="s">
        <v>592</v>
      </c>
      <c r="C55" s="53" t="s">
        <v>278</v>
      </c>
      <c r="D55" s="34" t="s">
        <v>591</v>
      </c>
      <c r="E55" s="53" t="s">
        <v>45</v>
      </c>
      <c r="F55" s="100">
        <v>376</v>
      </c>
      <c r="G55" s="101">
        <v>0</v>
      </c>
      <c r="H55" s="102">
        <f>G55*F55</f>
        <v>0</v>
      </c>
    </row>
    <row r="56" spans="1:8" s="354" customFormat="1" ht="45" customHeight="1">
      <c r="A56" s="41"/>
      <c r="B56" s="128"/>
      <c r="C56" s="41"/>
      <c r="D56" s="40" t="s">
        <v>670</v>
      </c>
      <c r="E56" s="41"/>
      <c r="F56" s="103"/>
      <c r="G56" s="353"/>
      <c r="H56" s="104"/>
    </row>
    <row r="57" spans="1:8" s="354" customFormat="1" ht="15" customHeight="1">
      <c r="A57" s="251"/>
      <c r="B57" s="251"/>
      <c r="C57" s="251"/>
      <c r="D57" s="250"/>
      <c r="E57" s="251"/>
      <c r="F57" s="251"/>
      <c r="G57" s="45"/>
      <c r="H57" s="250"/>
    </row>
    <row r="58" spans="1:14" ht="15" customHeight="1">
      <c r="A58" s="58"/>
      <c r="B58" s="58"/>
      <c r="C58" s="254">
        <v>2</v>
      </c>
      <c r="D58" s="10" t="s">
        <v>27</v>
      </c>
      <c r="E58" s="58"/>
      <c r="F58" s="58"/>
      <c r="G58" s="47"/>
      <c r="H58" s="10">
        <f>SUM(H55:H57)</f>
        <v>0</v>
      </c>
      <c r="N58" s="340">
        <f>SUM(N27:N46)</f>
        <v>0</v>
      </c>
    </row>
    <row r="59" ht="15" customHeight="1"/>
    <row r="60" spans="1:8" ht="15" customHeight="1">
      <c r="A60" s="76"/>
      <c r="B60" s="76"/>
      <c r="C60" s="76" t="s">
        <v>11</v>
      </c>
      <c r="D60" s="7" t="s">
        <v>39</v>
      </c>
      <c r="E60" s="76"/>
      <c r="F60" s="95"/>
      <c r="G60" s="45"/>
      <c r="H60" s="8"/>
    </row>
    <row r="61" spans="1:8" ht="15" customHeight="1">
      <c r="A61" s="355">
        <v>15</v>
      </c>
      <c r="B61" s="53" t="s">
        <v>291</v>
      </c>
      <c r="C61" s="53" t="s">
        <v>249</v>
      </c>
      <c r="D61" s="12" t="s">
        <v>579</v>
      </c>
      <c r="E61" s="53" t="s">
        <v>47</v>
      </c>
      <c r="F61" s="93">
        <f>2*60+4*14+12+45+2*12</f>
        <v>257</v>
      </c>
      <c r="G61" s="46">
        <v>0</v>
      </c>
      <c r="H61" s="14">
        <f>ROUND((G61*F61),2)</f>
        <v>0</v>
      </c>
    </row>
    <row r="62" ht="60" customHeight="1">
      <c r="D62" s="15" t="s">
        <v>626</v>
      </c>
    </row>
    <row r="63" ht="15" customHeight="1">
      <c r="D63" s="15"/>
    </row>
    <row r="64" spans="1:8" ht="15" customHeight="1">
      <c r="A64" s="53">
        <v>16</v>
      </c>
      <c r="B64" s="79" t="s">
        <v>595</v>
      </c>
      <c r="C64" s="53" t="s">
        <v>278</v>
      </c>
      <c r="D64" s="34" t="s">
        <v>593</v>
      </c>
      <c r="E64" s="53" t="s">
        <v>43</v>
      </c>
      <c r="F64" s="100">
        <f>(7+3.5)*1.5*0.3</f>
        <v>4.725</v>
      </c>
      <c r="G64" s="101">
        <v>0</v>
      </c>
      <c r="H64" s="109">
        <f>ROUND((G64*F64),2)</f>
        <v>0</v>
      </c>
    </row>
    <row r="65" ht="51.75" customHeight="1">
      <c r="D65" s="40" t="s">
        <v>594</v>
      </c>
    </row>
    <row r="66" spans="1:8" ht="15" customHeight="1">
      <c r="A66" s="53">
        <v>17</v>
      </c>
      <c r="B66" s="79" t="s">
        <v>596</v>
      </c>
      <c r="C66" s="53" t="s">
        <v>278</v>
      </c>
      <c r="D66" s="34" t="s">
        <v>597</v>
      </c>
      <c r="E66" s="53" t="s">
        <v>44</v>
      </c>
      <c r="F66" s="100">
        <f>150/1000*4.725</f>
        <v>0.7087499999999999</v>
      </c>
      <c r="G66" s="101">
        <v>0</v>
      </c>
      <c r="H66" s="109">
        <f>ROUND((G66*F66),2)</f>
        <v>0</v>
      </c>
    </row>
    <row r="67" ht="15" customHeight="1">
      <c r="D67" s="340" t="s">
        <v>598</v>
      </c>
    </row>
    <row r="68" ht="15" customHeight="1">
      <c r="D68" s="15"/>
    </row>
    <row r="69" spans="1:14" ht="15" customHeight="1">
      <c r="A69" s="58"/>
      <c r="B69" s="58"/>
      <c r="C69" s="58" t="s">
        <v>11</v>
      </c>
      <c r="D69" s="10" t="s">
        <v>39</v>
      </c>
      <c r="E69" s="58"/>
      <c r="F69" s="58"/>
      <c r="G69" s="47"/>
      <c r="H69" s="10">
        <f>SUM(H61:H67)</f>
        <v>0</v>
      </c>
      <c r="N69" s="340">
        <f>SUM(N61:N62)</f>
        <v>0</v>
      </c>
    </row>
    <row r="70" ht="15" customHeight="1"/>
    <row r="71" spans="1:8" ht="15" customHeight="1">
      <c r="A71" s="76"/>
      <c r="B71" s="76"/>
      <c r="C71" s="76" t="s">
        <v>12</v>
      </c>
      <c r="D71" s="7" t="s">
        <v>40</v>
      </c>
      <c r="E71" s="76"/>
      <c r="F71" s="95"/>
      <c r="G71" s="45"/>
      <c r="H71" s="8"/>
    </row>
    <row r="72" spans="1:8" ht="15" customHeight="1">
      <c r="A72" s="53">
        <v>18</v>
      </c>
      <c r="B72" s="53">
        <v>451523</v>
      </c>
      <c r="C72" s="53" t="s">
        <v>278</v>
      </c>
      <c r="D72" s="12" t="s">
        <v>69</v>
      </c>
      <c r="E72" s="53" t="s">
        <v>43</v>
      </c>
      <c r="F72" s="93">
        <f>2*0.25*376+0.25*124.5+0.2*2.4*13*2+0.15*10.4</f>
        <v>233.165</v>
      </c>
      <c r="G72" s="46">
        <v>0</v>
      </c>
      <c r="H72" s="14">
        <f>ROUND((G72*F72),2)</f>
        <v>0</v>
      </c>
    </row>
    <row r="73" spans="1:8" ht="120.75" customHeight="1">
      <c r="A73" s="41"/>
      <c r="B73" s="41"/>
      <c r="C73" s="41"/>
      <c r="D73" s="30" t="s">
        <v>671</v>
      </c>
      <c r="E73" s="41"/>
      <c r="F73" s="94"/>
      <c r="G73" s="337"/>
      <c r="H73" s="24"/>
    </row>
    <row r="74" spans="1:8" ht="15" customHeight="1">
      <c r="A74" s="41"/>
      <c r="B74" s="41"/>
      <c r="C74" s="41"/>
      <c r="D74" s="30"/>
      <c r="E74" s="41"/>
      <c r="F74" s="94"/>
      <c r="G74" s="337"/>
      <c r="H74" s="24"/>
    </row>
    <row r="75" spans="1:8" ht="15" customHeight="1">
      <c r="A75" s="53">
        <v>19</v>
      </c>
      <c r="B75" s="53">
        <v>45152</v>
      </c>
      <c r="C75" s="53" t="s">
        <v>278</v>
      </c>
      <c r="D75" s="12" t="s">
        <v>70</v>
      </c>
      <c r="E75" s="53" t="s">
        <v>43</v>
      </c>
      <c r="F75" s="93">
        <f>376*0.04+0.04*10.4</f>
        <v>15.456000000000001</v>
      </c>
      <c r="G75" s="46">
        <v>0</v>
      </c>
      <c r="H75" s="14">
        <f>ROUND((G75*F75),2)</f>
        <v>0</v>
      </c>
    </row>
    <row r="76" spans="1:8" ht="55.5" customHeight="1">
      <c r="A76" s="41"/>
      <c r="B76" s="41"/>
      <c r="C76" s="41"/>
      <c r="D76" s="30" t="s">
        <v>673</v>
      </c>
      <c r="E76" s="41"/>
      <c r="F76" s="94"/>
      <c r="G76" s="337"/>
      <c r="H76" s="24"/>
    </row>
    <row r="77" spans="1:8" ht="15" customHeight="1">
      <c r="A77" s="41"/>
      <c r="B77" s="41"/>
      <c r="C77" s="41"/>
      <c r="D77" s="30"/>
      <c r="E77" s="41"/>
      <c r="F77" s="94"/>
      <c r="G77" s="337"/>
      <c r="H77" s="24"/>
    </row>
    <row r="78" spans="1:8" ht="15" customHeight="1">
      <c r="A78" s="53">
        <v>20</v>
      </c>
      <c r="B78" s="53" t="s">
        <v>580</v>
      </c>
      <c r="C78" s="53" t="s">
        <v>249</v>
      </c>
      <c r="D78" s="12" t="s">
        <v>68</v>
      </c>
      <c r="E78" s="53" t="s">
        <v>43</v>
      </c>
      <c r="F78" s="93">
        <f>376*0.1+15.3*0.08+0.06*10.4</f>
        <v>39.448</v>
      </c>
      <c r="G78" s="46">
        <v>0</v>
      </c>
      <c r="H78" s="14">
        <f>ROUND((G78*F78),2)</f>
        <v>0</v>
      </c>
    </row>
    <row r="79" spans="1:8" ht="120.75" customHeight="1">
      <c r="A79" s="41"/>
      <c r="B79" s="41"/>
      <c r="C79" s="41"/>
      <c r="D79" s="30" t="s">
        <v>672</v>
      </c>
      <c r="E79" s="41"/>
      <c r="F79" s="94"/>
      <c r="G79" s="337"/>
      <c r="H79" s="24"/>
    </row>
    <row r="80" spans="1:8" ht="30" customHeight="1">
      <c r="A80" s="41"/>
      <c r="B80" s="41"/>
      <c r="C80" s="41"/>
      <c r="D80" s="30" t="s">
        <v>586</v>
      </c>
      <c r="E80" s="41"/>
      <c r="F80" s="94"/>
      <c r="G80" s="337"/>
      <c r="H80" s="24"/>
    </row>
    <row r="81" spans="1:8" ht="15" customHeight="1">
      <c r="A81" s="41"/>
      <c r="B81" s="41"/>
      <c r="C81" s="41"/>
      <c r="D81" s="30"/>
      <c r="E81" s="41"/>
      <c r="F81" s="94"/>
      <c r="G81" s="337"/>
      <c r="H81" s="24"/>
    </row>
    <row r="82" spans="1:8" ht="15" customHeight="1">
      <c r="A82" s="53">
        <v>21</v>
      </c>
      <c r="B82" s="53">
        <v>43111</v>
      </c>
      <c r="C82" s="53" t="s">
        <v>278</v>
      </c>
      <c r="D82" s="12" t="s">
        <v>75</v>
      </c>
      <c r="E82" s="53" t="s">
        <v>43</v>
      </c>
      <c r="F82" s="93">
        <f>0.15*0.35*2.5*(27+29)</f>
        <v>7.3500000000000005</v>
      </c>
      <c r="G82" s="46">
        <v>0</v>
      </c>
      <c r="H82" s="14">
        <f>ROUND((G82*F82),2)</f>
        <v>0</v>
      </c>
    </row>
    <row r="83" spans="1:8" ht="30" customHeight="1">
      <c r="A83" s="41"/>
      <c r="B83" s="41"/>
      <c r="C83" s="41"/>
      <c r="D83" s="22" t="s">
        <v>614</v>
      </c>
      <c r="E83" s="41"/>
      <c r="F83" s="94"/>
      <c r="G83" s="337"/>
      <c r="H83" s="24"/>
    </row>
    <row r="84" spans="1:8" ht="15" customHeight="1">
      <c r="A84" s="41"/>
      <c r="B84" s="41"/>
      <c r="C84" s="41"/>
      <c r="D84" s="22"/>
      <c r="E84" s="41"/>
      <c r="F84" s="94"/>
      <c r="G84" s="337"/>
      <c r="H84" s="24"/>
    </row>
    <row r="85" spans="1:8" ht="15" customHeight="1">
      <c r="A85" s="53">
        <v>22</v>
      </c>
      <c r="B85" s="53">
        <v>431325</v>
      </c>
      <c r="C85" s="53" t="s">
        <v>278</v>
      </c>
      <c r="D85" s="12" t="s">
        <v>76</v>
      </c>
      <c r="E85" s="53" t="s">
        <v>43</v>
      </c>
      <c r="F85" s="93">
        <f>2*13*0.4*3</f>
        <v>31.200000000000003</v>
      </c>
      <c r="G85" s="46">
        <v>0</v>
      </c>
      <c r="H85" s="14">
        <f>ROUND((G85*F85),2)</f>
        <v>0</v>
      </c>
    </row>
    <row r="86" spans="1:8" ht="26.25" customHeight="1">
      <c r="A86" s="41"/>
      <c r="B86" s="41"/>
      <c r="C86" s="41"/>
      <c r="D86" s="22" t="s">
        <v>583</v>
      </c>
      <c r="E86" s="41"/>
      <c r="F86" s="94"/>
      <c r="G86" s="337"/>
      <c r="H86" s="24"/>
    </row>
    <row r="87" spans="1:8" ht="15" customHeight="1">
      <c r="A87" s="41"/>
      <c r="B87" s="41"/>
      <c r="C87" s="41"/>
      <c r="D87" s="22"/>
      <c r="E87" s="41"/>
      <c r="F87" s="94"/>
      <c r="G87" s="337"/>
      <c r="H87" s="24"/>
    </row>
    <row r="88" spans="1:8" ht="15" customHeight="1">
      <c r="A88" s="53">
        <v>23</v>
      </c>
      <c r="B88" s="53">
        <v>431365</v>
      </c>
      <c r="C88" s="53" t="s">
        <v>278</v>
      </c>
      <c r="D88" s="12" t="s">
        <v>581</v>
      </c>
      <c r="E88" s="53" t="s">
        <v>44</v>
      </c>
      <c r="F88" s="93">
        <f>150/1000*31.2</f>
        <v>4.68</v>
      </c>
      <c r="G88" s="46">
        <v>0</v>
      </c>
      <c r="H88" s="14">
        <f>ROUND((G88*F88),2)</f>
        <v>0</v>
      </c>
    </row>
    <row r="89" spans="1:8" ht="15" customHeight="1">
      <c r="A89" s="41"/>
      <c r="B89" s="41"/>
      <c r="C89" s="41"/>
      <c r="D89" s="22" t="s">
        <v>584</v>
      </c>
      <c r="E89" s="41"/>
      <c r="F89" s="94"/>
      <c r="G89" s="337"/>
      <c r="H89" s="24"/>
    </row>
    <row r="90" spans="1:8" ht="15" customHeight="1">
      <c r="A90" s="41"/>
      <c r="B90" s="41"/>
      <c r="C90" s="41"/>
      <c r="D90" s="22"/>
      <c r="E90" s="41"/>
      <c r="F90" s="94"/>
      <c r="G90" s="337"/>
      <c r="H90" s="24"/>
    </row>
    <row r="91" spans="1:8" ht="15" customHeight="1">
      <c r="A91" s="53">
        <v>24</v>
      </c>
      <c r="B91" s="79">
        <v>451314</v>
      </c>
      <c r="C91" s="53" t="s">
        <v>278</v>
      </c>
      <c r="D91" s="34" t="s">
        <v>127</v>
      </c>
      <c r="E91" s="53" t="s">
        <v>43</v>
      </c>
      <c r="F91" s="100">
        <f>6*0.15</f>
        <v>0.8999999999999999</v>
      </c>
      <c r="G91" s="101">
        <v>0</v>
      </c>
      <c r="H91" s="109">
        <f>ROUND((G91*F91),2)</f>
        <v>0</v>
      </c>
    </row>
    <row r="92" spans="1:8" ht="45" customHeight="1">
      <c r="A92" s="41"/>
      <c r="B92" s="128"/>
      <c r="C92" s="41"/>
      <c r="D92" s="40" t="s">
        <v>588</v>
      </c>
      <c r="E92" s="41"/>
      <c r="F92" s="103"/>
      <c r="G92" s="353"/>
      <c r="H92" s="111"/>
    </row>
    <row r="93" spans="1:8" ht="15" customHeight="1">
      <c r="A93" s="41"/>
      <c r="B93" s="41"/>
      <c r="C93" s="41"/>
      <c r="D93" s="22"/>
      <c r="E93" s="41"/>
      <c r="F93" s="94"/>
      <c r="G93" s="337"/>
      <c r="H93" s="24"/>
    </row>
    <row r="94" spans="1:14" ht="15" customHeight="1">
      <c r="A94" s="58"/>
      <c r="B94" s="58"/>
      <c r="C94" s="58" t="s">
        <v>12</v>
      </c>
      <c r="D94" s="10" t="s">
        <v>40</v>
      </c>
      <c r="E94" s="58"/>
      <c r="F94" s="58"/>
      <c r="G94" s="47"/>
      <c r="H94" s="10">
        <f>SUM(H71:H92)</f>
        <v>0</v>
      </c>
      <c r="N94" s="340">
        <f>SUM(N78:N86)</f>
        <v>0</v>
      </c>
    </row>
    <row r="95" ht="15" customHeight="1"/>
    <row r="96" spans="1:8" ht="15" customHeight="1">
      <c r="A96" s="76"/>
      <c r="B96" s="76"/>
      <c r="C96" s="76" t="s">
        <v>13</v>
      </c>
      <c r="D96" s="7" t="s">
        <v>28</v>
      </c>
      <c r="E96" s="76"/>
      <c r="F96" s="95"/>
      <c r="G96" s="45"/>
      <c r="H96" s="8"/>
    </row>
    <row r="97" spans="1:8" ht="15" customHeight="1">
      <c r="A97" s="53">
        <v>25</v>
      </c>
      <c r="B97" s="53" t="s">
        <v>615</v>
      </c>
      <c r="C97" s="53" t="s">
        <v>278</v>
      </c>
      <c r="D97" s="12" t="s">
        <v>616</v>
      </c>
      <c r="E97" s="53" t="s">
        <v>45</v>
      </c>
      <c r="F97" s="93">
        <f>124.5</f>
        <v>124.5</v>
      </c>
      <c r="G97" s="46">
        <v>0</v>
      </c>
      <c r="H97" s="14">
        <f>ROUND((G97*F97),2)</f>
        <v>0</v>
      </c>
    </row>
    <row r="98" ht="15" customHeight="1">
      <c r="D98" s="15" t="s">
        <v>72</v>
      </c>
    </row>
    <row r="99" ht="15" customHeight="1">
      <c r="D99" s="15"/>
    </row>
    <row r="100" spans="1:8" ht="15" customHeight="1">
      <c r="A100" s="355">
        <v>26</v>
      </c>
      <c r="B100" s="355">
        <v>56361</v>
      </c>
      <c r="C100" s="53" t="s">
        <v>278</v>
      </c>
      <c r="D100" s="25" t="s">
        <v>73</v>
      </c>
      <c r="E100" s="355" t="s">
        <v>45</v>
      </c>
      <c r="F100" s="355">
        <f>124.5</f>
        <v>124.5</v>
      </c>
      <c r="G100" s="46">
        <v>0</v>
      </c>
      <c r="H100" s="14">
        <f>ROUND((G100*F100),2)</f>
        <v>0</v>
      </c>
    </row>
    <row r="101" ht="15" customHeight="1">
      <c r="D101" s="15" t="s">
        <v>72</v>
      </c>
    </row>
    <row r="102" ht="15" customHeight="1">
      <c r="D102" s="15"/>
    </row>
    <row r="103" spans="1:8" ht="15" customHeight="1">
      <c r="A103" s="355">
        <v>27</v>
      </c>
      <c r="B103" s="355">
        <v>572211</v>
      </c>
      <c r="C103" s="53" t="s">
        <v>278</v>
      </c>
      <c r="D103" s="25" t="s">
        <v>74</v>
      </c>
      <c r="E103" s="355" t="s">
        <v>45</v>
      </c>
      <c r="F103" s="355">
        <f>124.5</f>
        <v>124.5</v>
      </c>
      <c r="G103" s="46">
        <v>0</v>
      </c>
      <c r="H103" s="14">
        <f>ROUND((G103*F103),2)</f>
        <v>0</v>
      </c>
    </row>
    <row r="104" spans="1:8" ht="15" customHeight="1">
      <c r="A104" s="356"/>
      <c r="B104" s="356"/>
      <c r="C104" s="356"/>
      <c r="D104" s="32" t="s">
        <v>72</v>
      </c>
      <c r="E104" s="356"/>
      <c r="F104" s="356"/>
      <c r="G104" s="341"/>
      <c r="H104" s="357"/>
    </row>
    <row r="105" spans="1:8" ht="15" customHeight="1">
      <c r="A105" s="358"/>
      <c r="B105" s="358"/>
      <c r="C105" s="358"/>
      <c r="D105" s="15"/>
      <c r="E105" s="358"/>
      <c r="F105" s="358"/>
      <c r="G105" s="337"/>
      <c r="H105" s="359"/>
    </row>
    <row r="106" spans="1:14" ht="15" customHeight="1">
      <c r="A106" s="58"/>
      <c r="B106" s="58"/>
      <c r="C106" s="58" t="s">
        <v>13</v>
      </c>
      <c r="D106" s="10" t="s">
        <v>28</v>
      </c>
      <c r="E106" s="58"/>
      <c r="F106" s="58"/>
      <c r="G106" s="47"/>
      <c r="H106" s="10">
        <f>SUM(H97:H104)</f>
        <v>0</v>
      </c>
      <c r="N106" s="340">
        <f>SUM(N97:N104)</f>
        <v>0</v>
      </c>
    </row>
    <row r="107" ht="15" customHeight="1"/>
    <row r="108" spans="1:8" ht="15" customHeight="1">
      <c r="A108" s="76"/>
      <c r="B108" s="76"/>
      <c r="C108" s="76" t="s">
        <v>32</v>
      </c>
      <c r="D108" s="7" t="s">
        <v>31</v>
      </c>
      <c r="E108" s="76"/>
      <c r="F108" s="95"/>
      <c r="G108" s="45"/>
      <c r="H108" s="8"/>
    </row>
    <row r="109" spans="1:8" ht="15" customHeight="1">
      <c r="A109" s="53">
        <v>28</v>
      </c>
      <c r="B109" s="53">
        <v>917212</v>
      </c>
      <c r="C109" s="53" t="s">
        <v>278</v>
      </c>
      <c r="D109" s="12" t="s">
        <v>71</v>
      </c>
      <c r="E109" s="53" t="s">
        <v>47</v>
      </c>
      <c r="F109" s="93">
        <f>90+140</f>
        <v>230</v>
      </c>
      <c r="G109" s="46">
        <v>0</v>
      </c>
      <c r="H109" s="14">
        <f>ROUND((G109*F109),2)</f>
        <v>0</v>
      </c>
    </row>
    <row r="110" ht="29.25" customHeight="1">
      <c r="D110" s="31" t="s">
        <v>585</v>
      </c>
    </row>
    <row r="111" ht="15" customHeight="1">
      <c r="D111" s="31"/>
    </row>
    <row r="112" spans="1:8" ht="15" customHeight="1">
      <c r="A112" s="53">
        <v>104</v>
      </c>
      <c r="B112" s="79" t="s">
        <v>664</v>
      </c>
      <c r="C112" s="53" t="s">
        <v>278</v>
      </c>
      <c r="D112" s="34" t="s">
        <v>665</v>
      </c>
      <c r="E112" s="53" t="s">
        <v>47</v>
      </c>
      <c r="F112" s="100">
        <v>6</v>
      </c>
      <c r="G112" s="101">
        <v>0</v>
      </c>
      <c r="H112" s="109">
        <f>ROUND((G112*F112),2)</f>
        <v>0</v>
      </c>
    </row>
    <row r="113" spans="1:8" ht="30" customHeight="1">
      <c r="A113" s="359"/>
      <c r="B113" s="360"/>
      <c r="C113" s="358"/>
      <c r="D113" s="40" t="s">
        <v>666</v>
      </c>
      <c r="E113" s="358"/>
      <c r="F113" s="361"/>
      <c r="G113" s="362"/>
      <c r="H113" s="363"/>
    </row>
    <row r="114" ht="15" customHeight="1">
      <c r="D114" s="31"/>
    </row>
    <row r="115" spans="1:8" ht="15" customHeight="1">
      <c r="A115" s="355">
        <v>29</v>
      </c>
      <c r="B115" s="53">
        <v>917224</v>
      </c>
      <c r="C115" s="53" t="s">
        <v>278</v>
      </c>
      <c r="D115" s="25" t="s">
        <v>77</v>
      </c>
      <c r="E115" s="355" t="s">
        <v>47</v>
      </c>
      <c r="F115" s="355">
        <f>6+4+4</f>
        <v>14</v>
      </c>
      <c r="G115" s="46">
        <v>0</v>
      </c>
      <c r="H115" s="14">
        <f>ROUND((G115*F115),2)</f>
        <v>0</v>
      </c>
    </row>
    <row r="116" spans="2:14" ht="15" customHeight="1">
      <c r="B116" s="356"/>
      <c r="D116" s="31" t="s">
        <v>667</v>
      </c>
      <c r="H116" s="26"/>
      <c r="N116" s="340">
        <f>SUM(N109:N114)</f>
        <v>0</v>
      </c>
    </row>
    <row r="117" spans="2:8" ht="12.75" customHeight="1">
      <c r="B117" s="358"/>
      <c r="D117" s="31"/>
      <c r="H117" s="24"/>
    </row>
    <row r="118" spans="1:14" ht="24.75" customHeight="1">
      <c r="A118" s="58"/>
      <c r="B118" s="58"/>
      <c r="C118" s="58" t="s">
        <v>32</v>
      </c>
      <c r="D118" s="10" t="s">
        <v>31</v>
      </c>
      <c r="E118" s="58"/>
      <c r="F118" s="58"/>
      <c r="G118" s="47"/>
      <c r="H118" s="10">
        <f>SUM(H109:H116)</f>
        <v>0</v>
      </c>
      <c r="I118" s="364">
        <f>H118+H106+H94+H69+H58+H52+H22</f>
        <v>0</v>
      </c>
      <c r="N118" s="340" t="e">
        <f>+N22+N52+#REF!+N69+N94+N106+#REF!+#REF!+N116</f>
        <v>#REF!</v>
      </c>
    </row>
    <row r="120" spans="1:8" ht="12.75" customHeight="1">
      <c r="A120" s="58"/>
      <c r="B120" s="58"/>
      <c r="C120" s="58"/>
      <c r="D120" s="134" t="s">
        <v>34</v>
      </c>
      <c r="E120" s="58"/>
      <c r="F120" s="58"/>
      <c r="G120" s="47"/>
      <c r="H120" s="21">
        <f>SUM(H10:H119)/2</f>
        <v>0</v>
      </c>
    </row>
    <row r="125" ht="15.75" customHeight="1"/>
    <row r="127" ht="15" customHeight="1"/>
    <row r="128" ht="45" customHeight="1"/>
    <row r="130" ht="45" customHeight="1"/>
    <row r="136" ht="30" customHeight="1"/>
    <row r="139" ht="15" customHeight="1"/>
    <row r="148" ht="45" customHeight="1"/>
    <row r="150" ht="30" customHeight="1"/>
    <row r="153" spans="1:8" ht="12.75" customHeight="1">
      <c r="A153" s="41"/>
      <c r="B153" s="128"/>
      <c r="C153" s="41"/>
      <c r="D153" s="40"/>
      <c r="E153" s="41"/>
      <c r="F153" s="103"/>
      <c r="G153" s="353"/>
      <c r="H153" s="104"/>
    </row>
    <row r="155" spans="1:7" ht="12.75" customHeight="1">
      <c r="A155" s="340"/>
      <c r="C155" s="340"/>
      <c r="E155" s="340"/>
      <c r="G155" s="340"/>
    </row>
    <row r="156" spans="1:7" ht="12.75" customHeight="1">
      <c r="A156" s="340"/>
      <c r="C156" s="340"/>
      <c r="E156" s="340"/>
      <c r="G156" s="340"/>
    </row>
    <row r="157" spans="1:7" ht="12.75" customHeight="1">
      <c r="A157" s="340"/>
      <c r="C157" s="340"/>
      <c r="E157" s="340"/>
      <c r="G157" s="340"/>
    </row>
    <row r="158" spans="1:7" ht="12.75" customHeight="1">
      <c r="A158" s="340"/>
      <c r="C158" s="340"/>
      <c r="E158" s="340"/>
      <c r="G158" s="340"/>
    </row>
    <row r="159" spans="1:7" ht="12.75" customHeight="1">
      <c r="A159" s="340"/>
      <c r="C159" s="340"/>
      <c r="E159" s="340"/>
      <c r="G159" s="340"/>
    </row>
    <row r="161" spans="1:7" ht="12.75" customHeight="1">
      <c r="A161" s="340"/>
      <c r="C161" s="340"/>
      <c r="E161" s="340"/>
      <c r="G161" s="340"/>
    </row>
    <row r="162" spans="1:7" ht="12.75" customHeight="1">
      <c r="A162" s="340"/>
      <c r="C162" s="340"/>
      <c r="E162" s="340"/>
      <c r="G162" s="340"/>
    </row>
    <row r="167" spans="1:7" ht="12.75" customHeight="1">
      <c r="A167" s="340"/>
      <c r="B167" s="340"/>
      <c r="C167" s="340"/>
      <c r="E167" s="340"/>
      <c r="G167" s="340"/>
    </row>
    <row r="168" spans="1:7" ht="12.75" customHeight="1">
      <c r="A168" s="340"/>
      <c r="B168" s="340"/>
      <c r="C168" s="340"/>
      <c r="E168" s="340"/>
      <c r="G168" s="340"/>
    </row>
    <row r="169" spans="1:7" ht="12.75" customHeight="1">
      <c r="A169" s="340"/>
      <c r="B169" s="340"/>
      <c r="C169" s="340"/>
      <c r="E169" s="340"/>
      <c r="G169" s="340"/>
    </row>
    <row r="170" spans="1:7" ht="12.75" customHeight="1">
      <c r="A170" s="340"/>
      <c r="B170" s="340"/>
      <c r="C170" s="340"/>
      <c r="E170" s="340"/>
      <c r="G170" s="340"/>
    </row>
    <row r="171" spans="1:7" ht="12.75" customHeight="1">
      <c r="A171" s="340"/>
      <c r="B171" s="340"/>
      <c r="C171" s="340"/>
      <c r="E171" s="340"/>
      <c r="G171" s="340"/>
    </row>
    <row r="173" spans="1:7" ht="12.75" customHeight="1">
      <c r="A173" s="340"/>
      <c r="B173" s="340"/>
      <c r="C173" s="340"/>
      <c r="E173" s="340"/>
      <c r="G173" s="340"/>
    </row>
    <row r="174" spans="1:7" ht="12.75" customHeight="1">
      <c r="A174" s="340"/>
      <c r="B174" s="340"/>
      <c r="C174" s="340"/>
      <c r="E174" s="340"/>
      <c r="G174" s="340"/>
    </row>
  </sheetData>
  <sheetProtection sheet="1" objects="1" scenarios="1" selectLockedCells="1"/>
  <autoFilter ref="B1:B120"/>
  <mergeCells count="6"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85" r:id="rId1"/>
  <headerFooter alignWithMargins="0">
    <oddFooter>&amp;C&amp;A
&amp;P/&amp;N</oddFooter>
  </headerFooter>
  <ignoredErrors>
    <ignoredError sqref="A39:F39 A7:E7 G7:H7 A51:F51 A41:C41 E41:F41 A80:F81 A79:C79 E79:F79 A84:F84 A83:C83 E83:F83 A98:F99 C97 F97 H97 A63:F63 A62:C62 E62:F62 B61:E61 H61 A42:F42 A53:F54 A52:F52 A15:F15 A8:H9 A18:F18 B16:F16 A21:F21 B19:F19 A26:F27 B25:F25 A29:F30 B28:F28 A32:F33 B31:F31 A35:F35 B34:F34 B40:F40 A44:F45 B43:F43 A47:C47 B46:E46 A57:F60 B55:E55 A65:F65 B64:F64 A67:F71 B66:F66 A74:F74 B72:E72 A77:F77 B75:E75 B78:E78 B82:F82 A86:F87 B85:F85 A89:F90 B88:D88 A92:F96 B91:F91 A101:F102 B100:F100 A104:F108 B103:F103 A114:F114 B109:F109 A137:H170 B115:F115 B13 A23:F24 A22:F22 H16 A17:C17 E17:F17 B56:C56 E56:F56 H19 A20:C20 E20:F20 A110:F110 A116:C116 E116:F116 E47:F47 H46 H55 H72 A73:C73 E73:F73 H75 A76:C76 E76:F76 H78 H39 H51 H41 H80:H81 H79 H84 H83 H98:H99 H63 H62 H42 H53:H54 H15 A10:F11 H10:H11 H18 H21 H26:H27 H25 H29:H30 H28 H32:H33 H31 H35 H34 H40 H44:H45 H43 H57:H60 H65 H64 H67:H71 H66 H74 H77 H82 H86:H87 H85 H89:H90 H88 H92:H96 H91 H101:H102 H100 H104:H108 H103 H114 H109 A117:F136 H117:H136 H115 H23:H24 H17 H56 H20 H110 H116 H47 H73 H76 F8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="85" zoomScaleNormal="85" zoomScalePageLayoutView="0" workbookViewId="0" topLeftCell="A1">
      <pane ySplit="7" topLeftCell="A11" activePane="bottomLeft" state="frozen"/>
      <selection pane="topLeft" activeCell="B19" sqref="B19"/>
      <selection pane="bottomLeft" activeCell="G31" sqref="G31"/>
    </sheetView>
  </sheetViews>
  <sheetFormatPr defaultColWidth="9.140625" defaultRowHeight="12.75" customHeight="1"/>
  <cols>
    <col min="1" max="1" width="6.7109375" style="340" customWidth="1"/>
    <col min="2" max="2" width="12.7109375" style="338" customWidth="1"/>
    <col min="3" max="3" width="17.7109375" style="338" customWidth="1"/>
    <col min="4" max="4" width="75.7109375" style="340" customWidth="1"/>
    <col min="5" max="6" width="10.7109375" style="338" customWidth="1"/>
    <col min="7" max="7" width="15.7109375" style="339" customWidth="1"/>
    <col min="8" max="8" width="15.7109375" style="340" customWidth="1"/>
    <col min="9" max="9" width="13.28125" style="340" customWidth="1"/>
    <col min="10" max="12" width="9.140625" style="340" customWidth="1"/>
    <col min="13" max="14" width="9.140625" style="340" hidden="1" customWidth="1"/>
    <col min="15" max="16384" width="9.140625" style="340" customWidth="1"/>
  </cols>
  <sheetData>
    <row r="1" ht="12.75" customHeight="1">
      <c r="A1" s="5"/>
    </row>
    <row r="2" spans="1:5" ht="24.75" customHeight="1">
      <c r="A2" s="342" t="s">
        <v>92</v>
      </c>
      <c r="C2" s="1"/>
      <c r="D2" s="5"/>
      <c r="E2" s="1"/>
    </row>
    <row r="3" spans="1:5" ht="24.75" customHeight="1">
      <c r="A3" s="342" t="s">
        <v>417</v>
      </c>
      <c r="C3" s="1"/>
      <c r="D3" s="5"/>
      <c r="E3" s="1"/>
    </row>
    <row r="4" spans="1:5" ht="24.75" customHeight="1">
      <c r="A4" s="342" t="s">
        <v>422</v>
      </c>
      <c r="C4" s="1"/>
      <c r="D4" s="5"/>
      <c r="E4" s="1"/>
    </row>
    <row r="5" spans="1:14" ht="34.5" customHeight="1">
      <c r="A5" s="410" t="s">
        <v>1</v>
      </c>
      <c r="B5" s="412" t="s">
        <v>3</v>
      </c>
      <c r="C5" s="410" t="s">
        <v>253</v>
      </c>
      <c r="D5" s="410" t="s">
        <v>4</v>
      </c>
      <c r="E5" s="410" t="s">
        <v>5</v>
      </c>
      <c r="F5" s="414" t="s">
        <v>6</v>
      </c>
      <c r="G5" s="19" t="s">
        <v>254</v>
      </c>
      <c r="H5" s="67" t="s">
        <v>255</v>
      </c>
      <c r="M5" s="340" t="s">
        <v>9</v>
      </c>
      <c r="N5" s="340" t="s">
        <v>0</v>
      </c>
    </row>
    <row r="6" spans="1:13" ht="14.25">
      <c r="A6" s="411"/>
      <c r="B6" s="413"/>
      <c r="C6" s="411"/>
      <c r="D6" s="411"/>
      <c r="E6" s="411"/>
      <c r="F6" s="415"/>
      <c r="G6" s="44" t="s">
        <v>7</v>
      </c>
      <c r="H6" s="68" t="s">
        <v>8</v>
      </c>
      <c r="M6" s="340" t="s">
        <v>0</v>
      </c>
    </row>
    <row r="7" spans="1:8" ht="14.25">
      <c r="A7" s="4" t="s">
        <v>2</v>
      </c>
      <c r="B7" s="4" t="s">
        <v>10</v>
      </c>
      <c r="C7" s="4" t="s">
        <v>11</v>
      </c>
      <c r="D7" s="4" t="s">
        <v>12</v>
      </c>
      <c r="E7" s="4" t="s">
        <v>13</v>
      </c>
      <c r="F7" s="4">
        <f>D7+E7</f>
        <v>9</v>
      </c>
      <c r="G7" s="44" t="s">
        <v>14</v>
      </c>
      <c r="H7" s="4" t="s">
        <v>15</v>
      </c>
    </row>
    <row r="8" spans="1:8" ht="12.75">
      <c r="A8" s="41"/>
      <c r="B8" s="41"/>
      <c r="C8" s="41"/>
      <c r="D8" s="41"/>
      <c r="E8" s="41"/>
      <c r="F8" s="41"/>
      <c r="G8" s="124"/>
      <c r="H8" s="41"/>
    </row>
    <row r="9" spans="1:8" ht="12.75" customHeight="1">
      <c r="A9" s="7"/>
      <c r="B9" s="76"/>
      <c r="C9" s="76" t="s">
        <v>17</v>
      </c>
      <c r="D9" s="7" t="s">
        <v>16</v>
      </c>
      <c r="E9" s="76"/>
      <c r="F9" s="76"/>
      <c r="G9" s="45"/>
      <c r="H9" s="7"/>
    </row>
    <row r="10" spans="1:8" ht="15" customHeight="1">
      <c r="A10" s="53">
        <v>1</v>
      </c>
      <c r="B10" s="79" t="s">
        <v>36</v>
      </c>
      <c r="C10" s="53" t="s">
        <v>278</v>
      </c>
      <c r="D10" s="12" t="s">
        <v>18</v>
      </c>
      <c r="E10" s="53" t="s">
        <v>44</v>
      </c>
      <c r="F10" s="93">
        <f>25.7+91.2</f>
        <v>116.9</v>
      </c>
      <c r="G10" s="46">
        <v>0</v>
      </c>
      <c r="H10" s="14">
        <f>ROUND((G10*F10),2)</f>
        <v>0</v>
      </c>
    </row>
    <row r="11" spans="1:8" ht="30" customHeight="1">
      <c r="A11" s="358"/>
      <c r="B11" s="358"/>
      <c r="C11" s="358"/>
      <c r="D11" s="15" t="s">
        <v>399</v>
      </c>
      <c r="E11" s="358"/>
      <c r="F11" s="358"/>
      <c r="G11" s="337"/>
      <c r="H11" s="359"/>
    </row>
    <row r="12" spans="1:8" ht="15" customHeight="1">
      <c r="A12" s="358"/>
      <c r="B12" s="358"/>
      <c r="C12" s="358"/>
      <c r="D12" s="15"/>
      <c r="E12" s="358"/>
      <c r="F12" s="358"/>
      <c r="G12" s="337"/>
      <c r="H12" s="359"/>
    </row>
    <row r="13" spans="1:8" ht="15" customHeight="1">
      <c r="A13" s="53">
        <v>2</v>
      </c>
      <c r="B13" s="53" t="s">
        <v>21</v>
      </c>
      <c r="C13" s="53" t="s">
        <v>278</v>
      </c>
      <c r="D13" s="12" t="s">
        <v>22</v>
      </c>
      <c r="E13" s="53" t="s">
        <v>23</v>
      </c>
      <c r="F13" s="93">
        <v>1</v>
      </c>
      <c r="G13" s="46">
        <v>0</v>
      </c>
      <c r="H13" s="14">
        <f>ROUND((G13*F13),2)</f>
        <v>0</v>
      </c>
    </row>
    <row r="14" spans="1:8" ht="15" customHeight="1">
      <c r="A14" s="41"/>
      <c r="B14" s="41"/>
      <c r="C14" s="41"/>
      <c r="D14" s="22" t="s">
        <v>629</v>
      </c>
      <c r="E14" s="41"/>
      <c r="F14" s="94"/>
      <c r="G14" s="337"/>
      <c r="H14" s="24"/>
    </row>
    <row r="15" spans="1:8" ht="15" customHeight="1">
      <c r="A15" s="41"/>
      <c r="B15" s="41"/>
      <c r="C15" s="41"/>
      <c r="D15" s="22"/>
      <c r="E15" s="41"/>
      <c r="F15" s="94"/>
      <c r="G15" s="337"/>
      <c r="H15" s="24"/>
    </row>
    <row r="16" spans="1:8" ht="15" customHeight="1">
      <c r="A16" s="53">
        <v>3</v>
      </c>
      <c r="B16" s="53" t="s">
        <v>24</v>
      </c>
      <c r="C16" s="53" t="s">
        <v>278</v>
      </c>
      <c r="D16" s="12" t="s">
        <v>25</v>
      </c>
      <c r="E16" s="53" t="s">
        <v>23</v>
      </c>
      <c r="F16" s="93">
        <v>1</v>
      </c>
      <c r="G16" s="46">
        <v>0</v>
      </c>
      <c r="H16" s="14">
        <f>ROUND((G16*F16),2)</f>
        <v>0</v>
      </c>
    </row>
    <row r="17" spans="1:8" ht="15" customHeight="1">
      <c r="A17" s="41"/>
      <c r="B17" s="41"/>
      <c r="C17" s="41"/>
      <c r="D17" s="22" t="s">
        <v>627</v>
      </c>
      <c r="E17" s="41"/>
      <c r="F17" s="94"/>
      <c r="G17" s="337"/>
      <c r="H17" s="24"/>
    </row>
    <row r="18" spans="1:8" ht="15" customHeight="1">
      <c r="A18" s="41"/>
      <c r="B18" s="41"/>
      <c r="C18" s="41"/>
      <c r="D18" s="22"/>
      <c r="E18" s="41"/>
      <c r="F18" s="94"/>
      <c r="G18" s="337"/>
      <c r="H18" s="24"/>
    </row>
    <row r="19" spans="1:14" ht="15" customHeight="1">
      <c r="A19" s="58"/>
      <c r="B19" s="58"/>
      <c r="C19" s="58" t="s">
        <v>17</v>
      </c>
      <c r="D19" s="10" t="s">
        <v>16</v>
      </c>
      <c r="E19" s="58"/>
      <c r="F19" s="58"/>
      <c r="G19" s="47"/>
      <c r="H19" s="10">
        <f>SUM(H10:H18)</f>
        <v>0</v>
      </c>
      <c r="N19" s="340">
        <f>SUM(N10:N16)</f>
        <v>0</v>
      </c>
    </row>
    <row r="20" ht="15" customHeight="1">
      <c r="A20" s="338"/>
    </row>
    <row r="21" spans="1:8" ht="15" customHeight="1">
      <c r="A21" s="76"/>
      <c r="B21" s="76"/>
      <c r="C21" s="76" t="s">
        <v>2</v>
      </c>
      <c r="D21" s="7" t="s">
        <v>26</v>
      </c>
      <c r="E21" s="76"/>
      <c r="F21" s="76"/>
      <c r="G21" s="45"/>
      <c r="H21" s="7"/>
    </row>
    <row r="22" spans="1:8" ht="15" customHeight="1">
      <c r="A22" s="53">
        <v>4</v>
      </c>
      <c r="B22" s="53">
        <v>11346</v>
      </c>
      <c r="C22" s="53" t="s">
        <v>278</v>
      </c>
      <c r="D22" s="12" t="s">
        <v>301</v>
      </c>
      <c r="E22" s="53" t="s">
        <v>43</v>
      </c>
      <c r="F22" s="93">
        <f>53*0.15</f>
        <v>7.949999999999999</v>
      </c>
      <c r="G22" s="46">
        <v>0</v>
      </c>
      <c r="H22" s="14">
        <f>ROUND((G22*F22),2)</f>
        <v>0</v>
      </c>
    </row>
    <row r="23" spans="1:8" ht="30" customHeight="1">
      <c r="A23" s="41"/>
      <c r="B23" s="41"/>
      <c r="C23" s="41"/>
      <c r="D23" s="22" t="s">
        <v>628</v>
      </c>
      <c r="E23" s="41"/>
      <c r="F23" s="94"/>
      <c r="G23" s="337"/>
      <c r="H23" s="24"/>
    </row>
    <row r="24" spans="1:8" ht="15" customHeight="1">
      <c r="A24" s="41"/>
      <c r="B24" s="41"/>
      <c r="C24" s="41"/>
      <c r="D24" s="22"/>
      <c r="E24" s="41"/>
      <c r="F24" s="94"/>
      <c r="G24" s="337"/>
      <c r="H24" s="24"/>
    </row>
    <row r="25" spans="1:8" ht="15" customHeight="1">
      <c r="A25" s="53">
        <v>5</v>
      </c>
      <c r="B25" s="53">
        <v>12110</v>
      </c>
      <c r="C25" s="53" t="s">
        <v>278</v>
      </c>
      <c r="D25" s="12" t="s">
        <v>81</v>
      </c>
      <c r="E25" s="53" t="s">
        <v>43</v>
      </c>
      <c r="F25" s="93">
        <f>83.8*0.15*1.2</f>
        <v>15.083999999999998</v>
      </c>
      <c r="G25" s="46">
        <v>0</v>
      </c>
      <c r="H25" s="14">
        <f>ROUND((G25*F25),2)</f>
        <v>0</v>
      </c>
    </row>
    <row r="26" spans="1:8" ht="15" customHeight="1">
      <c r="A26" s="41"/>
      <c r="B26" s="41"/>
      <c r="C26" s="41"/>
      <c r="D26" s="22" t="s">
        <v>630</v>
      </c>
      <c r="E26" s="41"/>
      <c r="F26" s="94"/>
      <c r="G26" s="337"/>
      <c r="H26" s="24"/>
    </row>
    <row r="27" spans="1:8" ht="15" customHeight="1">
      <c r="A27" s="41"/>
      <c r="B27" s="41"/>
      <c r="C27" s="41"/>
      <c r="D27" s="22"/>
      <c r="E27" s="41"/>
      <c r="F27" s="94"/>
      <c r="G27" s="337"/>
      <c r="H27" s="24"/>
    </row>
    <row r="28" spans="1:8" ht="15" customHeight="1">
      <c r="A28" s="53">
        <v>6</v>
      </c>
      <c r="B28" s="53">
        <v>11348</v>
      </c>
      <c r="C28" s="53" t="s">
        <v>278</v>
      </c>
      <c r="D28" s="12" t="s">
        <v>396</v>
      </c>
      <c r="E28" s="53" t="s">
        <v>43</v>
      </c>
      <c r="F28" s="93">
        <f>8*0.4</f>
        <v>3.2</v>
      </c>
      <c r="G28" s="46">
        <v>0</v>
      </c>
      <c r="H28" s="14">
        <f>ROUND((G28*F28),2)</f>
        <v>0</v>
      </c>
    </row>
    <row r="29" spans="1:8" ht="15" customHeight="1">
      <c r="A29" s="41"/>
      <c r="B29" s="41"/>
      <c r="C29" s="41"/>
      <c r="D29" s="22" t="s">
        <v>82</v>
      </c>
      <c r="E29" s="41"/>
      <c r="F29" s="94"/>
      <c r="G29" s="337"/>
      <c r="H29" s="24"/>
    </row>
    <row r="30" spans="1:8" ht="15" customHeight="1">
      <c r="A30" s="41"/>
      <c r="B30" s="41"/>
      <c r="C30" s="41"/>
      <c r="D30" s="22"/>
      <c r="E30" s="41"/>
      <c r="F30" s="94"/>
      <c r="G30" s="337"/>
      <c r="H30" s="24"/>
    </row>
    <row r="31" spans="1:8" ht="15" customHeight="1">
      <c r="A31" s="53">
        <v>7</v>
      </c>
      <c r="B31" s="53">
        <v>11345</v>
      </c>
      <c r="C31" s="53" t="s">
        <v>278</v>
      </c>
      <c r="D31" s="12" t="s">
        <v>397</v>
      </c>
      <c r="E31" s="53" t="s">
        <v>43</v>
      </c>
      <c r="F31" s="93">
        <f>22*0.4</f>
        <v>8.8</v>
      </c>
      <c r="G31" s="46">
        <v>0</v>
      </c>
      <c r="H31" s="14">
        <f>ROUND((G31*F31),2)</f>
        <v>0</v>
      </c>
    </row>
    <row r="32" spans="1:8" ht="15" customHeight="1">
      <c r="A32" s="41"/>
      <c r="B32" s="41"/>
      <c r="C32" s="41"/>
      <c r="D32" s="22" t="s">
        <v>83</v>
      </c>
      <c r="E32" s="41"/>
      <c r="F32" s="94"/>
      <c r="G32" s="337"/>
      <c r="H32" s="24"/>
    </row>
    <row r="33" spans="1:8" ht="15" customHeight="1">
      <c r="A33" s="41"/>
      <c r="B33" s="41"/>
      <c r="C33" s="41"/>
      <c r="D33" s="22"/>
      <c r="E33" s="41"/>
      <c r="F33" s="94"/>
      <c r="G33" s="337"/>
      <c r="H33" s="24"/>
    </row>
    <row r="34" spans="1:8" ht="15" customHeight="1">
      <c r="A34" s="53">
        <v>8</v>
      </c>
      <c r="B34" s="53">
        <v>13173</v>
      </c>
      <c r="C34" s="53" t="s">
        <v>278</v>
      </c>
      <c r="D34" s="12" t="s">
        <v>233</v>
      </c>
      <c r="E34" s="53" t="s">
        <v>43</v>
      </c>
      <c r="F34" s="93">
        <f>120*0.4</f>
        <v>48</v>
      </c>
      <c r="G34" s="46">
        <v>0</v>
      </c>
      <c r="H34" s="14">
        <f>ROUND((G34*F34),2)</f>
        <v>0</v>
      </c>
    </row>
    <row r="35" spans="1:8" ht="15" customHeight="1">
      <c r="A35" s="41"/>
      <c r="B35" s="41"/>
      <c r="C35" s="41"/>
      <c r="D35" s="22" t="s">
        <v>398</v>
      </c>
      <c r="E35" s="41"/>
      <c r="F35" s="94"/>
      <c r="G35" s="337"/>
      <c r="H35" s="24"/>
    </row>
    <row r="36" spans="1:8" ht="15" customHeight="1">
      <c r="A36" s="41"/>
      <c r="B36" s="41"/>
      <c r="C36" s="41"/>
      <c r="D36" s="22"/>
      <c r="E36" s="41"/>
      <c r="F36" s="94"/>
      <c r="G36" s="337"/>
      <c r="H36" s="24"/>
    </row>
    <row r="37" spans="1:8" ht="15" customHeight="1">
      <c r="A37" s="53">
        <v>9</v>
      </c>
      <c r="B37" s="53">
        <v>18232</v>
      </c>
      <c r="C37" s="53" t="s">
        <v>278</v>
      </c>
      <c r="D37" s="12" t="s">
        <v>400</v>
      </c>
      <c r="E37" s="53" t="s">
        <v>45</v>
      </c>
      <c r="F37" s="93">
        <v>100.6</v>
      </c>
      <c r="G37" s="46">
        <v>0</v>
      </c>
      <c r="H37" s="14">
        <f>ROUND((G37*F37),2)</f>
        <v>0</v>
      </c>
    </row>
    <row r="38" spans="1:8" ht="15" customHeight="1">
      <c r="A38" s="41"/>
      <c r="B38" s="41"/>
      <c r="C38" s="41"/>
      <c r="D38" s="22"/>
      <c r="E38" s="41"/>
      <c r="F38" s="94"/>
      <c r="G38" s="337"/>
      <c r="H38" s="24"/>
    </row>
    <row r="39" spans="1:14" ht="15" customHeight="1">
      <c r="A39" s="58"/>
      <c r="B39" s="58"/>
      <c r="C39" s="58" t="s">
        <v>2</v>
      </c>
      <c r="D39" s="10" t="s">
        <v>26</v>
      </c>
      <c r="E39" s="58"/>
      <c r="F39" s="58"/>
      <c r="G39" s="47"/>
      <c r="H39" s="10">
        <f>SUM(H22:H38)</f>
        <v>0</v>
      </c>
      <c r="N39" s="340">
        <f>SUM(N22:N35)</f>
        <v>0</v>
      </c>
    </row>
    <row r="40" ht="15" customHeight="1">
      <c r="A40" s="338"/>
    </row>
    <row r="41" spans="1:8" ht="15" customHeight="1">
      <c r="A41" s="76"/>
      <c r="B41" s="76"/>
      <c r="C41" s="76" t="s">
        <v>13</v>
      </c>
      <c r="D41" s="7" t="s">
        <v>28</v>
      </c>
      <c r="E41" s="76"/>
      <c r="F41" s="76"/>
      <c r="G41" s="45"/>
      <c r="H41" s="7"/>
    </row>
    <row r="42" spans="1:8" ht="15" customHeight="1">
      <c r="A42" s="53">
        <v>10</v>
      </c>
      <c r="B42" s="53" t="s">
        <v>29</v>
      </c>
      <c r="C42" s="53" t="s">
        <v>278</v>
      </c>
      <c r="D42" s="12" t="s">
        <v>30</v>
      </c>
      <c r="E42" s="53" t="s">
        <v>45</v>
      </c>
      <c r="F42" s="93">
        <v>83.8</v>
      </c>
      <c r="G42" s="46">
        <v>0</v>
      </c>
      <c r="H42" s="14">
        <f>ROUND((G42*F42),2)</f>
        <v>0</v>
      </c>
    </row>
    <row r="43" spans="1:8" ht="15" customHeight="1">
      <c r="A43" s="41"/>
      <c r="B43" s="41"/>
      <c r="C43" s="41"/>
      <c r="D43" s="22"/>
      <c r="E43" s="41"/>
      <c r="F43" s="94"/>
      <c r="G43" s="337"/>
      <c r="H43" s="24"/>
    </row>
    <row r="44" spans="1:8" ht="15" customHeight="1">
      <c r="A44" s="355">
        <v>11</v>
      </c>
      <c r="B44" s="355">
        <v>572211</v>
      </c>
      <c r="C44" s="355" t="s">
        <v>278</v>
      </c>
      <c r="D44" s="25" t="s">
        <v>74</v>
      </c>
      <c r="E44" s="355" t="s">
        <v>45</v>
      </c>
      <c r="F44" s="366">
        <f>F42</f>
        <v>83.8</v>
      </c>
      <c r="G44" s="46">
        <v>0</v>
      </c>
      <c r="H44" s="14">
        <f>ROUND((G44*F44),2)</f>
        <v>0</v>
      </c>
    </row>
    <row r="45" spans="1:8" ht="15" customHeight="1">
      <c r="A45" s="358"/>
      <c r="B45" s="358"/>
      <c r="C45" s="358"/>
      <c r="D45" s="15"/>
      <c r="E45" s="358"/>
      <c r="F45" s="367"/>
      <c r="G45" s="337"/>
      <c r="H45" s="24"/>
    </row>
    <row r="46" spans="1:8" ht="15" customHeight="1">
      <c r="A46" s="355">
        <v>12</v>
      </c>
      <c r="B46" s="368" t="s">
        <v>79</v>
      </c>
      <c r="C46" s="355" t="s">
        <v>278</v>
      </c>
      <c r="D46" s="25" t="s">
        <v>78</v>
      </c>
      <c r="E46" s="355" t="s">
        <v>45</v>
      </c>
      <c r="F46" s="366">
        <f>F42</f>
        <v>83.8</v>
      </c>
      <c r="G46" s="46">
        <v>0</v>
      </c>
      <c r="H46" s="14">
        <f>ROUND((G46*F46),2)</f>
        <v>0</v>
      </c>
    </row>
    <row r="47" spans="1:8" ht="15" customHeight="1">
      <c r="A47" s="358"/>
      <c r="B47" s="369"/>
      <c r="C47" s="358"/>
      <c r="D47" s="15"/>
      <c r="E47" s="358"/>
      <c r="F47" s="367"/>
      <c r="G47" s="337"/>
      <c r="H47" s="24"/>
    </row>
    <row r="48" spans="1:8" ht="15" customHeight="1">
      <c r="A48" s="53">
        <v>13</v>
      </c>
      <c r="B48" s="53">
        <v>451523</v>
      </c>
      <c r="C48" s="53" t="s">
        <v>278</v>
      </c>
      <c r="D48" s="12" t="s">
        <v>69</v>
      </c>
      <c r="E48" s="53" t="s">
        <v>43</v>
      </c>
      <c r="F48" s="93">
        <f>0.15*83.8*2</f>
        <v>25.139999999999997</v>
      </c>
      <c r="G48" s="46">
        <v>0</v>
      </c>
      <c r="H48" s="14">
        <f>ROUND((G48*F48),2)</f>
        <v>0</v>
      </c>
    </row>
    <row r="49" spans="1:8" ht="29.25" customHeight="1">
      <c r="A49" s="41"/>
      <c r="B49" s="41"/>
      <c r="C49" s="41"/>
      <c r="D49" s="30" t="s">
        <v>403</v>
      </c>
      <c r="E49" s="41"/>
      <c r="F49" s="94"/>
      <c r="G49" s="337"/>
      <c r="H49" s="24"/>
    </row>
    <row r="50" spans="1:8" ht="15" customHeight="1">
      <c r="A50" s="41"/>
      <c r="B50" s="41"/>
      <c r="C50" s="41"/>
      <c r="D50" s="30"/>
      <c r="E50" s="41"/>
      <c r="F50" s="94"/>
      <c r="G50" s="337"/>
      <c r="H50" s="24"/>
    </row>
    <row r="51" spans="1:14" ht="15" customHeight="1">
      <c r="A51" s="58"/>
      <c r="B51" s="58"/>
      <c r="C51" s="58" t="s">
        <v>13</v>
      </c>
      <c r="D51" s="10" t="s">
        <v>28</v>
      </c>
      <c r="E51" s="58"/>
      <c r="F51" s="58"/>
      <c r="G51" s="47"/>
      <c r="H51" s="10">
        <f>SUM(H42:H50)</f>
        <v>0</v>
      </c>
      <c r="N51" s="340">
        <f>SUM(N42:N49)</f>
        <v>0</v>
      </c>
    </row>
    <row r="52" ht="15" customHeight="1">
      <c r="A52" s="338"/>
    </row>
    <row r="53" spans="1:8" ht="15" customHeight="1">
      <c r="A53" s="76"/>
      <c r="B53" s="76"/>
      <c r="C53" s="76" t="s">
        <v>32</v>
      </c>
      <c r="D53" s="7" t="s">
        <v>31</v>
      </c>
      <c r="E53" s="76"/>
      <c r="F53" s="95"/>
      <c r="G53" s="45"/>
      <c r="H53" s="8"/>
    </row>
    <row r="54" spans="1:8" ht="15" customHeight="1">
      <c r="A54" s="53">
        <v>14</v>
      </c>
      <c r="B54" s="53">
        <v>917212</v>
      </c>
      <c r="C54" s="53"/>
      <c r="D54" s="12" t="s">
        <v>71</v>
      </c>
      <c r="E54" s="53" t="s">
        <v>47</v>
      </c>
      <c r="F54" s="93">
        <v>13</v>
      </c>
      <c r="G54" s="46">
        <v>0</v>
      </c>
      <c r="H54" s="14">
        <f>ROUND((G54*F54),2)</f>
        <v>0</v>
      </c>
    </row>
    <row r="55" spans="1:4" ht="15" customHeight="1">
      <c r="A55" s="338"/>
      <c r="D55" s="31" t="s">
        <v>80</v>
      </c>
    </row>
    <row r="56" spans="1:4" ht="15" customHeight="1">
      <c r="A56" s="338"/>
      <c r="D56" s="31"/>
    </row>
    <row r="57" spans="1:8" ht="15" customHeight="1">
      <c r="A57" s="355">
        <v>15</v>
      </c>
      <c r="B57" s="53">
        <v>917224</v>
      </c>
      <c r="C57" s="355"/>
      <c r="D57" s="25" t="s">
        <v>77</v>
      </c>
      <c r="E57" s="355" t="s">
        <v>47</v>
      </c>
      <c r="F57" s="93">
        <v>56</v>
      </c>
      <c r="G57" s="46">
        <v>0</v>
      </c>
      <c r="H57" s="14">
        <f>ROUND((G57*F57),2)</f>
        <v>0</v>
      </c>
    </row>
    <row r="58" spans="1:8" ht="15" customHeight="1">
      <c r="A58" s="359"/>
      <c r="B58" s="41"/>
      <c r="C58" s="358"/>
      <c r="D58" s="15"/>
      <c r="E58" s="358"/>
      <c r="F58" s="94"/>
      <c r="G58" s="337"/>
      <c r="H58" s="24"/>
    </row>
    <row r="59" spans="1:14" ht="12.75" customHeight="1">
      <c r="A59" s="10"/>
      <c r="B59" s="58"/>
      <c r="C59" s="58" t="s">
        <v>32</v>
      </c>
      <c r="D59" s="10" t="s">
        <v>31</v>
      </c>
      <c r="E59" s="58"/>
      <c r="F59" s="58"/>
      <c r="G59" s="47"/>
      <c r="H59" s="10">
        <f>SUM(H54:H58)</f>
        <v>0</v>
      </c>
      <c r="N59" s="340">
        <f>SUM(N54:N57)</f>
        <v>0</v>
      </c>
    </row>
    <row r="61" spans="1:14" ht="21" customHeight="1">
      <c r="A61" s="10"/>
      <c r="B61" s="58"/>
      <c r="C61" s="58"/>
      <c r="D61" s="134" t="s">
        <v>34</v>
      </c>
      <c r="E61" s="58"/>
      <c r="F61" s="58"/>
      <c r="G61" s="47"/>
      <c r="H61" s="21">
        <f>SUM(H9:H59)/2</f>
        <v>0</v>
      </c>
      <c r="N61" s="340" t="e">
        <f>+N19+N39+#REF!+#REF!+#REF!+N51+#REF!+#REF!+N59</f>
        <v>#REF!</v>
      </c>
    </row>
  </sheetData>
  <sheetProtection sheet="1" objects="1" scenarios="1" selectLockedCells="1"/>
  <autoFilter ref="B1:B64"/>
  <mergeCells count="6"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85" r:id="rId1"/>
  <headerFooter alignWithMargins="0">
    <oddFooter>&amp;C&amp;A
&amp;P/&amp;N</oddFooter>
  </headerFooter>
  <ignoredErrors>
    <ignoredError sqref="A7:H9 C58:G61 B46 A15:F16 A14:C14 E14:F14 A18:F22 A17:C17 E17:F17 A24:F24 A23:C23 E23:F23 A10:F13 H10:H13 C39:F57 H15:H16 H14 H18:H22 H17 H24 H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53"/>
  <sheetViews>
    <sheetView showGridLines="0" tabSelected="1" zoomScalePageLayoutView="0" workbookViewId="0" topLeftCell="A1">
      <pane ySplit="8" topLeftCell="A9" activePane="bottomLeft" state="frozen"/>
      <selection pane="topLeft" activeCell="B19" sqref="B19"/>
      <selection pane="bottomLeft" activeCell="G21" sqref="G21"/>
    </sheetView>
  </sheetViews>
  <sheetFormatPr defaultColWidth="9.140625" defaultRowHeight="12.75" customHeight="1"/>
  <cols>
    <col min="1" max="1" width="6.7109375" style="396" customWidth="1"/>
    <col min="2" max="2" width="12.7109375" style="397" customWidth="1"/>
    <col min="3" max="3" width="17.7109375" style="396" customWidth="1"/>
    <col min="4" max="4" width="75.7109375" style="398" customWidth="1"/>
    <col min="5" max="5" width="10.7109375" style="396" customWidth="1"/>
    <col min="6" max="6" width="10.7109375" style="399" customWidth="1"/>
    <col min="7" max="7" width="15.7109375" style="392" customWidth="1"/>
    <col min="8" max="8" width="15.7109375" style="393" customWidth="1"/>
    <col min="9" max="9" width="13.28125" style="359" customWidth="1"/>
    <col min="10" max="10" width="12.7109375" style="359" bestFit="1" customWidth="1"/>
    <col min="11" max="13" width="9.140625" style="359" customWidth="1"/>
    <col min="14" max="15" width="9.140625" style="359" hidden="1" customWidth="1"/>
    <col min="16" max="16384" width="9.140625" style="359" customWidth="1"/>
  </cols>
  <sheetData>
    <row r="2" spans="1:8" s="347" customFormat="1" ht="24.75" customHeight="1">
      <c r="A2" s="342" t="s">
        <v>92</v>
      </c>
      <c r="B2" s="370"/>
      <c r="C2" s="70"/>
      <c r="D2" s="71"/>
      <c r="E2" s="70"/>
      <c r="F2" s="344"/>
      <c r="G2" s="345"/>
      <c r="H2" s="346"/>
    </row>
    <row r="3" spans="1:8" s="347" customFormat="1" ht="24.75" customHeight="1">
      <c r="A3" s="342" t="s">
        <v>418</v>
      </c>
      <c r="B3" s="370"/>
      <c r="C3" s="70"/>
      <c r="D3" s="71"/>
      <c r="E3" s="70"/>
      <c r="F3" s="344"/>
      <c r="G3" s="345"/>
      <c r="H3" s="346"/>
    </row>
    <row r="4" spans="1:8" s="347" customFormat="1" ht="24.75" customHeight="1">
      <c r="A4" s="347" t="s">
        <v>382</v>
      </c>
      <c r="B4" s="370"/>
      <c r="C4" s="70"/>
      <c r="D4" s="71"/>
      <c r="E4" s="70"/>
      <c r="F4" s="344"/>
      <c r="G4" s="345"/>
      <c r="H4" s="346"/>
    </row>
    <row r="5" spans="1:8" s="347" customFormat="1" ht="24.75" customHeight="1">
      <c r="A5" s="347" t="s">
        <v>394</v>
      </c>
      <c r="B5" s="370"/>
      <c r="C5" s="70"/>
      <c r="D5" s="71"/>
      <c r="E5" s="70"/>
      <c r="F5" s="344"/>
      <c r="G5" s="345"/>
      <c r="H5" s="346"/>
    </row>
    <row r="6" spans="1:15" ht="34.5" customHeight="1">
      <c r="A6" s="416" t="s">
        <v>1</v>
      </c>
      <c r="B6" s="412" t="s">
        <v>3</v>
      </c>
      <c r="C6" s="416" t="s">
        <v>253</v>
      </c>
      <c r="D6" s="416" t="s">
        <v>4</v>
      </c>
      <c r="E6" s="416" t="s">
        <v>5</v>
      </c>
      <c r="F6" s="419" t="s">
        <v>6</v>
      </c>
      <c r="G6" s="19" t="s">
        <v>254</v>
      </c>
      <c r="H6" s="67" t="s">
        <v>255</v>
      </c>
      <c r="J6" s="365"/>
      <c r="K6" s="348"/>
      <c r="N6" s="359" t="s">
        <v>9</v>
      </c>
      <c r="O6" s="359" t="s">
        <v>0</v>
      </c>
    </row>
    <row r="7" spans="1:14" ht="14.25">
      <c r="A7" s="417"/>
      <c r="B7" s="418"/>
      <c r="C7" s="417"/>
      <c r="D7" s="417"/>
      <c r="E7" s="417"/>
      <c r="F7" s="420"/>
      <c r="G7" s="44" t="s">
        <v>7</v>
      </c>
      <c r="H7" s="68" t="s">
        <v>8</v>
      </c>
      <c r="J7" s="371"/>
      <c r="K7" s="371"/>
      <c r="N7" s="359" t="s">
        <v>0</v>
      </c>
    </row>
    <row r="8" spans="1:8" ht="15" customHeight="1" thickBot="1">
      <c r="A8" s="59" t="s">
        <v>2</v>
      </c>
      <c r="B8" s="60" t="s">
        <v>10</v>
      </c>
      <c r="C8" s="59" t="s">
        <v>11</v>
      </c>
      <c r="D8" s="59" t="s">
        <v>12</v>
      </c>
      <c r="E8" s="59" t="s">
        <v>13</v>
      </c>
      <c r="F8" s="59">
        <v>6</v>
      </c>
      <c r="G8" s="61" t="s">
        <v>14</v>
      </c>
      <c r="H8" s="62" t="s">
        <v>15</v>
      </c>
    </row>
    <row r="9" spans="1:8" ht="15" customHeight="1" thickTop="1">
      <c r="A9" s="64"/>
      <c r="B9" s="63"/>
      <c r="C9" s="64"/>
      <c r="D9" s="64"/>
      <c r="E9" s="64"/>
      <c r="F9" s="64"/>
      <c r="G9" s="65"/>
      <c r="H9" s="66"/>
    </row>
    <row r="10" spans="1:8" ht="15" customHeight="1">
      <c r="A10" s="53">
        <v>1</v>
      </c>
      <c r="B10" s="79" t="s">
        <v>35</v>
      </c>
      <c r="C10" s="53" t="s">
        <v>278</v>
      </c>
      <c r="D10" s="12" t="s">
        <v>114</v>
      </c>
      <c r="E10" s="53" t="s">
        <v>23</v>
      </c>
      <c r="F10" s="93">
        <v>1</v>
      </c>
      <c r="G10" s="46">
        <v>0</v>
      </c>
      <c r="H10" s="96">
        <f>ROUND((G10*F10),2)</f>
        <v>0</v>
      </c>
    </row>
    <row r="11" spans="1:8" ht="30" customHeight="1">
      <c r="A11" s="41"/>
      <c r="B11" s="128" t="s">
        <v>35</v>
      </c>
      <c r="C11" s="41"/>
      <c r="D11" s="22" t="s">
        <v>351</v>
      </c>
      <c r="E11" s="22"/>
      <c r="F11" s="23"/>
      <c r="G11" s="337"/>
      <c r="H11" s="24"/>
    </row>
    <row r="12" spans="1:8" ht="15" customHeight="1">
      <c r="A12" s="41"/>
      <c r="B12" s="128"/>
      <c r="C12" s="41"/>
      <c r="D12" s="22"/>
      <c r="E12" s="22"/>
      <c r="F12" s="23"/>
      <c r="G12" s="337"/>
      <c r="H12" s="24"/>
    </row>
    <row r="13" spans="1:8" ht="15" customHeight="1">
      <c r="A13" s="53">
        <v>2</v>
      </c>
      <c r="B13" s="79" t="s">
        <v>680</v>
      </c>
      <c r="C13" s="53" t="s">
        <v>278</v>
      </c>
      <c r="D13" s="12" t="s">
        <v>681</v>
      </c>
      <c r="E13" s="53" t="s">
        <v>64</v>
      </c>
      <c r="F13" s="93">
        <v>2</v>
      </c>
      <c r="G13" s="46">
        <v>0</v>
      </c>
      <c r="H13" s="96">
        <f>ROUND((G13*F13),2)</f>
        <v>0</v>
      </c>
    </row>
    <row r="14" spans="1:8" ht="60" customHeight="1">
      <c r="A14" s="41"/>
      <c r="B14" s="128" t="s">
        <v>680</v>
      </c>
      <c r="C14" s="41"/>
      <c r="D14" s="22" t="s">
        <v>682</v>
      </c>
      <c r="E14" s="22"/>
      <c r="F14" s="23"/>
      <c r="G14" s="337"/>
      <c r="H14" s="24"/>
    </row>
    <row r="15" spans="1:8" ht="15" customHeight="1">
      <c r="A15" s="41"/>
      <c r="B15" s="92"/>
      <c r="C15" s="41"/>
      <c r="D15" s="22"/>
      <c r="E15" s="22"/>
      <c r="F15" s="23"/>
      <c r="G15" s="337"/>
      <c r="H15" s="24"/>
    </row>
    <row r="16" spans="1:8" ht="15" customHeight="1">
      <c r="A16" s="53">
        <v>3</v>
      </c>
      <c r="B16" s="79" t="s">
        <v>37</v>
      </c>
      <c r="C16" s="53" t="s">
        <v>278</v>
      </c>
      <c r="D16" s="34" t="s">
        <v>42</v>
      </c>
      <c r="E16" s="53" t="s">
        <v>33</v>
      </c>
      <c r="F16" s="93">
        <v>1</v>
      </c>
      <c r="G16" s="46">
        <v>0</v>
      </c>
      <c r="H16" s="96">
        <f>ROUND((G16*F16),2)</f>
        <v>0</v>
      </c>
    </row>
    <row r="17" spans="1:8" ht="15" customHeight="1">
      <c r="A17" s="41"/>
      <c r="B17" s="92"/>
      <c r="C17" s="41"/>
      <c r="D17" s="40"/>
      <c r="E17" s="22"/>
      <c r="F17" s="23"/>
      <c r="G17" s="337"/>
      <c r="H17" s="24"/>
    </row>
    <row r="18" spans="1:8" ht="15" customHeight="1">
      <c r="A18" s="53">
        <v>4</v>
      </c>
      <c r="B18" s="79" t="s">
        <v>21</v>
      </c>
      <c r="C18" s="53" t="s">
        <v>278</v>
      </c>
      <c r="D18" s="12" t="s">
        <v>22</v>
      </c>
      <c r="E18" s="53" t="s">
        <v>23</v>
      </c>
      <c r="F18" s="93">
        <v>1</v>
      </c>
      <c r="G18" s="46">
        <v>0</v>
      </c>
      <c r="H18" s="96">
        <f>ROUND((G18*F18),2)</f>
        <v>0</v>
      </c>
    </row>
    <row r="19" spans="1:8" ht="15" customHeight="1">
      <c r="A19" s="41"/>
      <c r="B19" s="128" t="s">
        <v>21</v>
      </c>
      <c r="C19" s="41"/>
      <c r="D19" s="22" t="s">
        <v>625</v>
      </c>
      <c r="E19" s="22"/>
      <c r="F19" s="23"/>
      <c r="G19" s="337"/>
      <c r="H19" s="24"/>
    </row>
    <row r="20" spans="1:8" ht="15" customHeight="1">
      <c r="A20" s="41"/>
      <c r="B20" s="92"/>
      <c r="C20" s="41"/>
      <c r="D20" s="22"/>
      <c r="E20" s="22"/>
      <c r="F20" s="23"/>
      <c r="G20" s="337"/>
      <c r="H20" s="24"/>
    </row>
    <row r="21" spans="1:8" ht="15" customHeight="1">
      <c r="A21" s="53">
        <v>5</v>
      </c>
      <c r="B21" s="79" t="s">
        <v>24</v>
      </c>
      <c r="C21" s="53" t="s">
        <v>278</v>
      </c>
      <c r="D21" s="12" t="s">
        <v>25</v>
      </c>
      <c r="E21" s="53" t="s">
        <v>23</v>
      </c>
      <c r="F21" s="93">
        <v>1</v>
      </c>
      <c r="G21" s="46">
        <v>0</v>
      </c>
      <c r="H21" s="96">
        <f>ROUND((G21*F21),2)</f>
        <v>0</v>
      </c>
    </row>
    <row r="22" spans="1:8" ht="15" customHeight="1">
      <c r="A22" s="41"/>
      <c r="B22" s="128" t="s">
        <v>24</v>
      </c>
      <c r="C22" s="41"/>
      <c r="D22" s="22" t="s">
        <v>627</v>
      </c>
      <c r="E22" s="22"/>
      <c r="F22" s="23"/>
      <c r="G22" s="337"/>
      <c r="H22" s="24"/>
    </row>
    <row r="23" spans="1:8" ht="15" customHeight="1">
      <c r="A23" s="41"/>
      <c r="B23" s="92"/>
      <c r="C23" s="41"/>
      <c r="D23" s="22"/>
      <c r="E23" s="22"/>
      <c r="F23" s="23"/>
      <c r="G23" s="337"/>
      <c r="H23" s="24"/>
    </row>
    <row r="24" spans="1:8" ht="15" customHeight="1">
      <c r="A24" s="53">
        <v>6</v>
      </c>
      <c r="B24" s="79" t="s">
        <v>61</v>
      </c>
      <c r="C24" s="53" t="s">
        <v>278</v>
      </c>
      <c r="D24" s="12" t="s">
        <v>265</v>
      </c>
      <c r="E24" s="53" t="s">
        <v>23</v>
      </c>
      <c r="F24" s="93">
        <v>1</v>
      </c>
      <c r="G24" s="46">
        <v>0</v>
      </c>
      <c r="H24" s="96">
        <f>ROUND((G24*F24),2)</f>
        <v>0</v>
      </c>
    </row>
    <row r="25" spans="1:8" ht="45" customHeight="1">
      <c r="A25" s="41"/>
      <c r="B25" s="128" t="s">
        <v>61</v>
      </c>
      <c r="C25" s="358"/>
      <c r="D25" s="22" t="s">
        <v>683</v>
      </c>
      <c r="E25" s="22"/>
      <c r="F25" s="23"/>
      <c r="G25" s="337"/>
      <c r="H25" s="24"/>
    </row>
    <row r="26" spans="1:8" ht="15" customHeight="1">
      <c r="A26" s="41"/>
      <c r="B26" s="128"/>
      <c r="C26" s="358"/>
      <c r="D26" s="22"/>
      <c r="E26" s="22"/>
      <c r="F26" s="23"/>
      <c r="G26" s="337"/>
      <c r="H26" s="24"/>
    </row>
    <row r="27" spans="1:8" ht="15" customHeight="1">
      <c r="A27" s="53">
        <v>7</v>
      </c>
      <c r="B27" s="79" t="s">
        <v>269</v>
      </c>
      <c r="C27" s="355" t="s">
        <v>249</v>
      </c>
      <c r="D27" s="12" t="s">
        <v>268</v>
      </c>
      <c r="E27" s="53" t="s">
        <v>63</v>
      </c>
      <c r="F27" s="93">
        <v>1</v>
      </c>
      <c r="G27" s="46">
        <v>0</v>
      </c>
      <c r="H27" s="96">
        <f>ROUND((G27*F27),2)</f>
        <v>0</v>
      </c>
    </row>
    <row r="28" spans="1:8" ht="45" customHeight="1">
      <c r="A28" s="41"/>
      <c r="B28" s="128" t="s">
        <v>269</v>
      </c>
      <c r="C28" s="358"/>
      <c r="D28" s="22" t="s">
        <v>679</v>
      </c>
      <c r="E28" s="22"/>
      <c r="F28" s="23"/>
      <c r="G28" s="337"/>
      <c r="H28" s="24"/>
    </row>
    <row r="29" spans="1:8" ht="15" customHeight="1">
      <c r="A29" s="42"/>
      <c r="B29" s="119"/>
      <c r="C29" s="372"/>
      <c r="D29" s="73"/>
      <c r="E29" s="73"/>
      <c r="F29" s="74"/>
      <c r="G29" s="352"/>
      <c r="H29" s="75"/>
    </row>
    <row r="30" spans="1:8" ht="15" customHeight="1">
      <c r="A30" s="53">
        <v>8</v>
      </c>
      <c r="B30" s="79" t="s">
        <v>62</v>
      </c>
      <c r="C30" s="53" t="s">
        <v>278</v>
      </c>
      <c r="D30" s="12" t="s">
        <v>266</v>
      </c>
      <c r="E30" s="53" t="s">
        <v>33</v>
      </c>
      <c r="F30" s="93">
        <v>1</v>
      </c>
      <c r="G30" s="46">
        <v>0</v>
      </c>
      <c r="H30" s="96">
        <f>ROUND((G30*F30),2)</f>
        <v>0</v>
      </c>
    </row>
    <row r="31" spans="1:8" ht="15" customHeight="1">
      <c r="A31" s="41"/>
      <c r="B31" s="128" t="s">
        <v>62</v>
      </c>
      <c r="C31" s="41"/>
      <c r="D31" s="22" t="s">
        <v>632</v>
      </c>
      <c r="E31" s="22"/>
      <c r="F31" s="23"/>
      <c r="G31" s="337"/>
      <c r="H31" s="24"/>
    </row>
    <row r="32" spans="1:8" ht="15" customHeight="1">
      <c r="A32" s="97"/>
      <c r="B32" s="98"/>
      <c r="C32" s="97"/>
      <c r="D32" s="97"/>
      <c r="E32" s="97"/>
      <c r="F32" s="97"/>
      <c r="G32" s="373"/>
      <c r="H32" s="99"/>
    </row>
    <row r="33" spans="1:8" ht="15" customHeight="1">
      <c r="A33" s="53">
        <v>9</v>
      </c>
      <c r="B33" s="79">
        <v>11120</v>
      </c>
      <c r="C33" s="53" t="s">
        <v>278</v>
      </c>
      <c r="D33" s="34" t="s">
        <v>232</v>
      </c>
      <c r="E33" s="53" t="s">
        <v>101</v>
      </c>
      <c r="F33" s="100">
        <f>13*4*0.5</f>
        <v>26</v>
      </c>
      <c r="G33" s="101">
        <v>0</v>
      </c>
      <c r="H33" s="102">
        <f>G33*F33</f>
        <v>0</v>
      </c>
    </row>
    <row r="34" spans="1:8" ht="15" customHeight="1">
      <c r="A34" s="41"/>
      <c r="B34" s="128">
        <v>11120</v>
      </c>
      <c r="C34" s="41"/>
      <c r="D34" s="40" t="s">
        <v>247</v>
      </c>
      <c r="E34" s="41"/>
      <c r="F34" s="103"/>
      <c r="G34" s="353"/>
      <c r="H34" s="104"/>
    </row>
    <row r="35" spans="1:8" ht="15" customHeight="1">
      <c r="A35" s="41"/>
      <c r="B35" s="92"/>
      <c r="C35" s="41"/>
      <c r="D35" s="40"/>
      <c r="E35" s="41"/>
      <c r="F35" s="103"/>
      <c r="G35" s="353"/>
      <c r="H35" s="104"/>
    </row>
    <row r="36" spans="1:8" ht="15" customHeight="1">
      <c r="A36" s="53">
        <v>10</v>
      </c>
      <c r="B36" s="79">
        <v>96711</v>
      </c>
      <c r="C36" s="53" t="s">
        <v>278</v>
      </c>
      <c r="D36" s="34" t="s">
        <v>117</v>
      </c>
      <c r="E36" s="53" t="s">
        <v>43</v>
      </c>
      <c r="F36" s="100">
        <f>3*0.2*0.2*1.1</f>
        <v>0.13200000000000003</v>
      </c>
      <c r="G36" s="101">
        <v>0</v>
      </c>
      <c r="H36" s="102">
        <f>G36*F36</f>
        <v>0</v>
      </c>
    </row>
    <row r="37" spans="1:8" ht="15" customHeight="1">
      <c r="A37" s="41"/>
      <c r="B37" s="128">
        <v>96711</v>
      </c>
      <c r="C37" s="41"/>
      <c r="D37" s="40" t="s">
        <v>131</v>
      </c>
      <c r="E37" s="41"/>
      <c r="F37" s="103"/>
      <c r="G37" s="353"/>
      <c r="H37" s="104"/>
    </row>
    <row r="38" spans="1:8" ht="15" customHeight="1">
      <c r="A38" s="41"/>
      <c r="B38" s="92"/>
      <c r="C38" s="41"/>
      <c r="D38" s="40"/>
      <c r="E38" s="41"/>
      <c r="F38" s="103"/>
      <c r="G38" s="353"/>
      <c r="H38" s="104"/>
    </row>
    <row r="39" spans="1:8" ht="15" customHeight="1">
      <c r="A39" s="53">
        <v>11</v>
      </c>
      <c r="B39" s="79">
        <v>12110</v>
      </c>
      <c r="C39" s="53" t="s">
        <v>278</v>
      </c>
      <c r="D39" s="34" t="s">
        <v>81</v>
      </c>
      <c r="E39" s="53" t="s">
        <v>43</v>
      </c>
      <c r="F39" s="100">
        <f>4*13*0.1</f>
        <v>5.2</v>
      </c>
      <c r="G39" s="101">
        <v>0</v>
      </c>
      <c r="H39" s="102">
        <f>G39*F39</f>
        <v>0</v>
      </c>
    </row>
    <row r="40" spans="1:8" ht="15" customHeight="1">
      <c r="A40" s="41"/>
      <c r="B40" s="128">
        <v>12110</v>
      </c>
      <c r="C40" s="41"/>
      <c r="D40" s="40" t="s">
        <v>132</v>
      </c>
      <c r="E40" s="41"/>
      <c r="F40" s="103"/>
      <c r="G40" s="353"/>
      <c r="H40" s="104"/>
    </row>
    <row r="41" spans="1:8" ht="15" customHeight="1">
      <c r="A41" s="41"/>
      <c r="B41" s="92"/>
      <c r="C41" s="41"/>
      <c r="D41" s="40"/>
      <c r="E41" s="41"/>
      <c r="F41" s="103"/>
      <c r="G41" s="353"/>
      <c r="H41" s="104"/>
    </row>
    <row r="42" spans="1:8" ht="15" customHeight="1">
      <c r="A42" s="53">
        <v>12</v>
      </c>
      <c r="B42" s="53" t="s">
        <v>119</v>
      </c>
      <c r="C42" s="53" t="s">
        <v>278</v>
      </c>
      <c r="D42" s="34" t="s">
        <v>118</v>
      </c>
      <c r="E42" s="53" t="s">
        <v>103</v>
      </c>
      <c r="F42" s="100">
        <v>36</v>
      </c>
      <c r="G42" s="101">
        <v>0</v>
      </c>
      <c r="H42" s="102">
        <f>G42*F42</f>
        <v>0</v>
      </c>
    </row>
    <row r="43" spans="1:8" ht="30" customHeight="1">
      <c r="A43" s="41"/>
      <c r="B43" s="129" t="s">
        <v>119</v>
      </c>
      <c r="C43" s="41"/>
      <c r="D43" s="40" t="s">
        <v>631</v>
      </c>
      <c r="E43" s="41"/>
      <c r="F43" s="103"/>
      <c r="G43" s="124"/>
      <c r="H43" s="105"/>
    </row>
    <row r="44" spans="1:8" ht="15" customHeight="1">
      <c r="A44" s="41"/>
      <c r="B44" s="129" t="s">
        <v>119</v>
      </c>
      <c r="C44" s="41"/>
      <c r="D44" s="40" t="s">
        <v>368</v>
      </c>
      <c r="E44" s="41"/>
      <c r="F44" s="103"/>
      <c r="G44" s="124"/>
      <c r="H44" s="105"/>
    </row>
    <row r="45" spans="1:8" ht="15" customHeight="1">
      <c r="A45" s="41"/>
      <c r="B45" s="92"/>
      <c r="C45" s="41"/>
      <c r="D45" s="40"/>
      <c r="E45" s="41"/>
      <c r="F45" s="103"/>
      <c r="G45" s="353"/>
      <c r="H45" s="104"/>
    </row>
    <row r="46" spans="1:8" ht="15" customHeight="1">
      <c r="A46" s="53">
        <v>13</v>
      </c>
      <c r="B46" s="79" t="s">
        <v>121</v>
      </c>
      <c r="C46" s="53" t="s">
        <v>278</v>
      </c>
      <c r="D46" s="34" t="s">
        <v>120</v>
      </c>
      <c r="E46" s="53" t="s">
        <v>103</v>
      </c>
      <c r="F46" s="100">
        <v>36</v>
      </c>
      <c r="G46" s="101">
        <v>0</v>
      </c>
      <c r="H46" s="102">
        <f>G46*F46</f>
        <v>0</v>
      </c>
    </row>
    <row r="47" spans="1:8" ht="15" customHeight="1">
      <c r="A47" s="41"/>
      <c r="B47" s="128" t="s">
        <v>121</v>
      </c>
      <c r="C47" s="41"/>
      <c r="D47" s="40" t="s">
        <v>133</v>
      </c>
      <c r="E47" s="358"/>
      <c r="F47" s="358"/>
      <c r="G47" s="374"/>
      <c r="H47" s="374"/>
    </row>
    <row r="48" spans="1:8" ht="15" customHeight="1">
      <c r="A48" s="41"/>
      <c r="B48" s="92"/>
      <c r="C48" s="41"/>
      <c r="D48" s="40"/>
      <c r="E48" s="41"/>
      <c r="F48" s="103"/>
      <c r="G48" s="353"/>
      <c r="H48" s="104"/>
    </row>
    <row r="49" spans="1:8" ht="15" customHeight="1">
      <c r="A49" s="53">
        <v>14</v>
      </c>
      <c r="B49" s="79" t="s">
        <v>35</v>
      </c>
      <c r="C49" s="53" t="s">
        <v>278</v>
      </c>
      <c r="D49" s="34" t="s">
        <v>114</v>
      </c>
      <c r="E49" s="53" t="s">
        <v>243</v>
      </c>
      <c r="F49" s="100">
        <v>1</v>
      </c>
      <c r="G49" s="101">
        <v>0</v>
      </c>
      <c r="H49" s="102">
        <f>G49*F49</f>
        <v>0</v>
      </c>
    </row>
    <row r="50" spans="1:8" ht="30" customHeight="1">
      <c r="A50" s="41"/>
      <c r="B50" s="128" t="s">
        <v>35</v>
      </c>
      <c r="C50" s="41"/>
      <c r="D50" s="40" t="s">
        <v>248</v>
      </c>
      <c r="E50" s="41"/>
      <c r="F50" s="103"/>
      <c r="G50" s="353"/>
      <c r="H50" s="104"/>
    </row>
    <row r="51" spans="1:8" ht="15" customHeight="1">
      <c r="A51" s="41"/>
      <c r="B51" s="128" t="s">
        <v>35</v>
      </c>
      <c r="C51" s="41"/>
      <c r="D51" s="40" t="s">
        <v>283</v>
      </c>
      <c r="E51" s="41"/>
      <c r="F51" s="103"/>
      <c r="G51" s="353"/>
      <c r="H51" s="104"/>
    </row>
    <row r="52" spans="1:8" ht="15" customHeight="1">
      <c r="A52" s="41"/>
      <c r="B52" s="92"/>
      <c r="C52" s="41"/>
      <c r="D52" s="40"/>
      <c r="E52" s="41"/>
      <c r="F52" s="103"/>
      <c r="G52" s="353"/>
      <c r="H52" s="104"/>
    </row>
    <row r="53" spans="1:8" ht="15" customHeight="1">
      <c r="A53" s="53">
        <v>15</v>
      </c>
      <c r="B53" s="79">
        <v>18216</v>
      </c>
      <c r="C53" s="53" t="s">
        <v>278</v>
      </c>
      <c r="D53" s="34" t="s">
        <v>115</v>
      </c>
      <c r="E53" s="53" t="s">
        <v>45</v>
      </c>
      <c r="F53" s="100">
        <v>60</v>
      </c>
      <c r="G53" s="101">
        <v>0</v>
      </c>
      <c r="H53" s="102">
        <f>G53*F53</f>
        <v>0</v>
      </c>
    </row>
    <row r="54" spans="1:8" ht="30" customHeight="1">
      <c r="A54" s="41"/>
      <c r="B54" s="128">
        <v>18216</v>
      </c>
      <c r="C54" s="41"/>
      <c r="D54" s="40" t="s">
        <v>284</v>
      </c>
      <c r="E54" s="41"/>
      <c r="F54" s="103"/>
      <c r="G54" s="353"/>
      <c r="H54" s="104"/>
    </row>
    <row r="55" spans="1:8" ht="15" customHeight="1">
      <c r="A55" s="41"/>
      <c r="B55" s="128">
        <v>18216</v>
      </c>
      <c r="C55" s="41"/>
      <c r="D55" s="40" t="s">
        <v>116</v>
      </c>
      <c r="E55" s="41"/>
      <c r="F55" s="103"/>
      <c r="G55" s="353"/>
      <c r="H55" s="104"/>
    </row>
    <row r="56" spans="1:8" ht="15" customHeight="1">
      <c r="A56" s="41"/>
      <c r="B56" s="92"/>
      <c r="C56" s="41"/>
      <c r="D56" s="40"/>
      <c r="E56" s="41"/>
      <c r="F56" s="103"/>
      <c r="G56" s="353"/>
      <c r="H56" s="104"/>
    </row>
    <row r="57" spans="1:15" s="375" customFormat="1" ht="15" customHeight="1">
      <c r="A57" s="53">
        <v>16</v>
      </c>
      <c r="B57" s="79">
        <v>26125</v>
      </c>
      <c r="C57" s="79" t="s">
        <v>278</v>
      </c>
      <c r="D57" s="34" t="s">
        <v>128</v>
      </c>
      <c r="E57" s="53" t="s">
        <v>103</v>
      </c>
      <c r="F57" s="100">
        <f>0.6*(12*6.8+2*7.3+2*7.8)</f>
        <v>67.07999999999998</v>
      </c>
      <c r="G57" s="101">
        <v>0</v>
      </c>
      <c r="H57" s="102">
        <f>G57*F57</f>
        <v>0</v>
      </c>
      <c r="N57" s="359"/>
      <c r="O57" s="359"/>
    </row>
    <row r="58" spans="1:8" ht="30" customHeight="1">
      <c r="A58" s="41"/>
      <c r="B58" s="128">
        <v>26125</v>
      </c>
      <c r="C58" s="106"/>
      <c r="D58" s="40" t="s">
        <v>285</v>
      </c>
      <c r="E58" s="41"/>
      <c r="F58" s="103"/>
      <c r="G58" s="353"/>
      <c r="H58" s="104"/>
    </row>
    <row r="59" spans="1:8" ht="15" customHeight="1">
      <c r="A59" s="41"/>
      <c r="B59" s="128">
        <v>26125</v>
      </c>
      <c r="C59" s="107"/>
      <c r="D59" s="40" t="s">
        <v>203</v>
      </c>
      <c r="E59" s="41"/>
      <c r="F59" s="103"/>
      <c r="G59" s="353"/>
      <c r="H59" s="104"/>
    </row>
    <row r="60" spans="1:8" ht="15" customHeight="1">
      <c r="A60" s="41"/>
      <c r="B60" s="92"/>
      <c r="C60" s="107"/>
      <c r="D60" s="40"/>
      <c r="E60" s="41"/>
      <c r="F60" s="103"/>
      <c r="G60" s="353"/>
      <c r="H60" s="104"/>
    </row>
    <row r="61" spans="1:15" s="375" customFormat="1" ht="15" customHeight="1">
      <c r="A61" s="53">
        <v>17</v>
      </c>
      <c r="B61" s="79">
        <v>26145</v>
      </c>
      <c r="C61" s="79" t="s">
        <v>278</v>
      </c>
      <c r="D61" s="34" t="s">
        <v>141</v>
      </c>
      <c r="E61" s="53" t="s">
        <v>103</v>
      </c>
      <c r="F61" s="100">
        <f>0.4*(12*6.8+2*7.3+2*7.8)</f>
        <v>44.72</v>
      </c>
      <c r="G61" s="101">
        <v>0</v>
      </c>
      <c r="H61" s="102">
        <f>G61*F61</f>
        <v>0</v>
      </c>
      <c r="N61" s="359"/>
      <c r="O61" s="359"/>
    </row>
    <row r="62" spans="1:8" ht="30" customHeight="1">
      <c r="A62" s="41"/>
      <c r="B62" s="128">
        <v>26145</v>
      </c>
      <c r="C62" s="106"/>
      <c r="D62" s="40" t="s">
        <v>286</v>
      </c>
      <c r="E62" s="41"/>
      <c r="F62" s="103"/>
      <c r="G62" s="353"/>
      <c r="H62" s="104"/>
    </row>
    <row r="63" spans="1:8" ht="15" customHeight="1">
      <c r="A63" s="41"/>
      <c r="B63" s="128">
        <v>26145</v>
      </c>
      <c r="C63" s="107"/>
      <c r="D63" s="40" t="s">
        <v>204</v>
      </c>
      <c r="E63" s="41"/>
      <c r="F63" s="103"/>
      <c r="G63" s="353"/>
      <c r="H63" s="104"/>
    </row>
    <row r="64" spans="1:8" ht="15" customHeight="1">
      <c r="A64" s="41"/>
      <c r="B64" s="92"/>
      <c r="C64" s="107"/>
      <c r="D64" s="40"/>
      <c r="E64" s="41"/>
      <c r="F64" s="103"/>
      <c r="G64" s="353"/>
      <c r="H64" s="104"/>
    </row>
    <row r="65" spans="1:15" s="375" customFormat="1" ht="15" customHeight="1">
      <c r="A65" s="53">
        <v>18</v>
      </c>
      <c r="B65" s="79">
        <v>26114</v>
      </c>
      <c r="C65" s="79" t="s">
        <v>278</v>
      </c>
      <c r="D65" s="34" t="s">
        <v>129</v>
      </c>
      <c r="E65" s="53" t="s">
        <v>103</v>
      </c>
      <c r="F65" s="100">
        <f>4*7.3+8*5.3+14*6</f>
        <v>155.6</v>
      </c>
      <c r="G65" s="101">
        <v>0</v>
      </c>
      <c r="H65" s="102">
        <f>G65*F65</f>
        <v>0</v>
      </c>
      <c r="N65" s="359"/>
      <c r="O65" s="359"/>
    </row>
    <row r="66" spans="1:8" ht="45" customHeight="1">
      <c r="A66" s="41"/>
      <c r="B66" s="128">
        <v>26114</v>
      </c>
      <c r="C66" s="106"/>
      <c r="D66" s="40" t="s">
        <v>356</v>
      </c>
      <c r="E66" s="41"/>
      <c r="F66" s="103"/>
      <c r="G66" s="353"/>
      <c r="H66" s="104"/>
    </row>
    <row r="67" spans="1:8" ht="15" customHeight="1">
      <c r="A67" s="41"/>
      <c r="B67" s="92"/>
      <c r="C67" s="107"/>
      <c r="D67" s="40"/>
      <c r="E67" s="41"/>
      <c r="F67" s="103"/>
      <c r="G67" s="353"/>
      <c r="H67" s="104"/>
    </row>
    <row r="68" spans="1:15" s="375" customFormat="1" ht="15" customHeight="1">
      <c r="A68" s="53">
        <v>19</v>
      </c>
      <c r="B68" s="79">
        <v>26134</v>
      </c>
      <c r="C68" s="79" t="s">
        <v>278</v>
      </c>
      <c r="D68" s="34" t="s">
        <v>130</v>
      </c>
      <c r="E68" s="53" t="s">
        <v>103</v>
      </c>
      <c r="F68" s="100">
        <f>4*1.5+8*5.6+14*1.2</f>
        <v>67.6</v>
      </c>
      <c r="G68" s="101">
        <v>0</v>
      </c>
      <c r="H68" s="102">
        <f>G68*F68</f>
        <v>0</v>
      </c>
      <c r="N68" s="359"/>
      <c r="O68" s="359"/>
    </row>
    <row r="69" spans="1:8" ht="45" customHeight="1">
      <c r="A69" s="41"/>
      <c r="B69" s="128">
        <v>26134</v>
      </c>
      <c r="C69" s="106"/>
      <c r="D69" s="40" t="s">
        <v>357</v>
      </c>
      <c r="E69" s="41"/>
      <c r="F69" s="103"/>
      <c r="G69" s="353"/>
      <c r="H69" s="104"/>
    </row>
    <row r="70" spans="1:8" ht="15" customHeight="1">
      <c r="A70" s="41"/>
      <c r="B70" s="92"/>
      <c r="C70" s="107"/>
      <c r="D70" s="40"/>
      <c r="E70" s="41"/>
      <c r="F70" s="103"/>
      <c r="G70" s="353"/>
      <c r="H70" s="104"/>
    </row>
    <row r="71" spans="1:15" s="375" customFormat="1" ht="15" customHeight="1">
      <c r="A71" s="53">
        <v>20</v>
      </c>
      <c r="B71" s="79">
        <v>26144</v>
      </c>
      <c r="C71" s="79" t="s">
        <v>278</v>
      </c>
      <c r="D71" s="34" t="s">
        <v>142</v>
      </c>
      <c r="E71" s="53" t="s">
        <v>103</v>
      </c>
      <c r="F71" s="100">
        <f>14*4.7</f>
        <v>65.8</v>
      </c>
      <c r="G71" s="101">
        <v>0</v>
      </c>
      <c r="H71" s="102">
        <f>G71*F71</f>
        <v>0</v>
      </c>
      <c r="N71" s="359"/>
      <c r="O71" s="359"/>
    </row>
    <row r="72" spans="1:8" ht="30" customHeight="1">
      <c r="A72" s="41"/>
      <c r="B72" s="128">
        <v>26144</v>
      </c>
      <c r="C72" s="41"/>
      <c r="D72" s="40" t="s">
        <v>358</v>
      </c>
      <c r="E72" s="41"/>
      <c r="F72" s="103"/>
      <c r="G72" s="353"/>
      <c r="H72" s="104"/>
    </row>
    <row r="73" spans="1:8" ht="15" customHeight="1">
      <c r="A73" s="41"/>
      <c r="B73" s="92"/>
      <c r="C73" s="41"/>
      <c r="D73" s="40"/>
      <c r="E73" s="41"/>
      <c r="F73" s="103"/>
      <c r="G73" s="353"/>
      <c r="H73" s="104"/>
    </row>
    <row r="74" spans="1:8" ht="15" customHeight="1">
      <c r="A74" s="53">
        <v>21</v>
      </c>
      <c r="B74" s="79">
        <v>22594</v>
      </c>
      <c r="C74" s="53" t="s">
        <v>278</v>
      </c>
      <c r="D74" s="34" t="s">
        <v>104</v>
      </c>
      <c r="E74" s="53" t="s">
        <v>105</v>
      </c>
      <c r="F74" s="100">
        <v>5.999</v>
      </c>
      <c r="G74" s="101">
        <v>0</v>
      </c>
      <c r="H74" s="102">
        <f>G74*F74</f>
        <v>0</v>
      </c>
    </row>
    <row r="75" spans="1:8" ht="15" customHeight="1">
      <c r="A75" s="41"/>
      <c r="B75" s="128">
        <v>22594</v>
      </c>
      <c r="C75" s="41"/>
      <c r="D75" s="40" t="s">
        <v>359</v>
      </c>
      <c r="E75" s="358"/>
      <c r="F75" s="358"/>
      <c r="G75" s="374"/>
      <c r="H75" s="374"/>
    </row>
    <row r="76" spans="1:8" ht="15" customHeight="1">
      <c r="A76" s="41"/>
      <c r="B76" s="92"/>
      <c r="C76" s="41"/>
      <c r="D76" s="40"/>
      <c r="E76" s="41"/>
      <c r="F76" s="103"/>
      <c r="G76" s="353"/>
      <c r="H76" s="104"/>
    </row>
    <row r="77" spans="1:8" ht="15" customHeight="1">
      <c r="A77" s="53">
        <v>22</v>
      </c>
      <c r="B77" s="79">
        <v>227831</v>
      </c>
      <c r="C77" s="53" t="s">
        <v>278</v>
      </c>
      <c r="D77" s="34" t="s">
        <v>48</v>
      </c>
      <c r="E77" s="53" t="s">
        <v>103</v>
      </c>
      <c r="F77" s="100">
        <f>4*9+8*12+14*12</f>
        <v>300</v>
      </c>
      <c r="G77" s="101">
        <v>0</v>
      </c>
      <c r="H77" s="102">
        <f>G77*F77</f>
        <v>0</v>
      </c>
    </row>
    <row r="78" spans="1:8" ht="45" customHeight="1">
      <c r="A78" s="41"/>
      <c r="B78" s="128">
        <v>227831</v>
      </c>
      <c r="C78" s="41"/>
      <c r="D78" s="40" t="s">
        <v>288</v>
      </c>
      <c r="E78" s="41"/>
      <c r="F78" s="103"/>
      <c r="G78" s="353"/>
      <c r="H78" s="104"/>
    </row>
    <row r="79" spans="1:8" ht="15" customHeight="1">
      <c r="A79" s="41"/>
      <c r="B79" s="92"/>
      <c r="C79" s="41"/>
      <c r="D79" s="40"/>
      <c r="E79" s="41"/>
      <c r="F79" s="103"/>
      <c r="G79" s="353"/>
      <c r="H79" s="104"/>
    </row>
    <row r="80" spans="1:8" ht="15" customHeight="1">
      <c r="A80" s="53">
        <v>23</v>
      </c>
      <c r="B80" s="79">
        <v>22595</v>
      </c>
      <c r="C80" s="53" t="s">
        <v>278</v>
      </c>
      <c r="D80" s="34" t="s">
        <v>106</v>
      </c>
      <c r="E80" s="53" t="s">
        <v>43</v>
      </c>
      <c r="F80" s="100">
        <f>11*31*0.04*0.15*0.95+54*0.04*0.15*1.07+54*0.04*0.15*1.15</f>
        <v>2.6629799999999997</v>
      </c>
      <c r="G80" s="101">
        <v>0</v>
      </c>
      <c r="H80" s="102">
        <f>G80*F80</f>
        <v>0</v>
      </c>
    </row>
    <row r="81" spans="1:8" ht="45" customHeight="1">
      <c r="A81" s="41"/>
      <c r="B81" s="128">
        <v>22595</v>
      </c>
      <c r="C81" s="41"/>
      <c r="D81" s="40" t="s">
        <v>287</v>
      </c>
      <c r="E81" s="41"/>
      <c r="F81" s="103"/>
      <c r="G81" s="353"/>
      <c r="H81" s="104"/>
    </row>
    <row r="82" spans="1:8" ht="15" customHeight="1">
      <c r="A82" s="41"/>
      <c r="B82" s="92"/>
      <c r="C82" s="41"/>
      <c r="D82" s="40"/>
      <c r="E82" s="41"/>
      <c r="F82" s="103"/>
      <c r="G82" s="353"/>
      <c r="H82" s="104"/>
    </row>
    <row r="83" spans="1:8" ht="15" customHeight="1">
      <c r="A83" s="53">
        <v>24</v>
      </c>
      <c r="B83" s="79">
        <v>327215</v>
      </c>
      <c r="C83" s="53" t="s">
        <v>278</v>
      </c>
      <c r="D83" s="34" t="s">
        <v>107</v>
      </c>
      <c r="E83" s="53" t="s">
        <v>19</v>
      </c>
      <c r="F83" s="93">
        <f>4*11</f>
        <v>44</v>
      </c>
      <c r="G83" s="108">
        <v>0</v>
      </c>
      <c r="H83" s="109">
        <f>ROUND((G83*F83),2)</f>
        <v>0</v>
      </c>
    </row>
    <row r="84" spans="1:8" ht="15" customHeight="1">
      <c r="A84" s="41"/>
      <c r="B84" s="128">
        <v>327215</v>
      </c>
      <c r="C84" s="41"/>
      <c r="D84" s="40" t="s">
        <v>383</v>
      </c>
      <c r="E84" s="41"/>
      <c r="F84" s="103"/>
      <c r="G84" s="353"/>
      <c r="H84" s="104"/>
    </row>
    <row r="85" spans="1:8" ht="90" customHeight="1">
      <c r="A85" s="41"/>
      <c r="B85" s="128">
        <v>327215</v>
      </c>
      <c r="C85" s="41"/>
      <c r="D85" s="376" t="s">
        <v>271</v>
      </c>
      <c r="E85" s="41"/>
      <c r="F85" s="103"/>
      <c r="G85" s="353"/>
      <c r="H85" s="104"/>
    </row>
    <row r="86" spans="1:8" ht="15" customHeight="1">
      <c r="A86" s="41"/>
      <c r="B86" s="92"/>
      <c r="C86" s="41"/>
      <c r="D86" s="40"/>
      <c r="E86" s="41"/>
      <c r="F86" s="103"/>
      <c r="G86" s="353"/>
      <c r="H86" s="104"/>
    </row>
    <row r="87" spans="1:15" s="375" customFormat="1" ht="15" customHeight="1">
      <c r="A87" s="53">
        <v>25</v>
      </c>
      <c r="B87" s="79">
        <v>12273</v>
      </c>
      <c r="C87" s="53" t="s">
        <v>278</v>
      </c>
      <c r="D87" s="34" t="s">
        <v>231</v>
      </c>
      <c r="E87" s="53" t="s">
        <v>43</v>
      </c>
      <c r="F87" s="100">
        <f>10.4*11</f>
        <v>114.4</v>
      </c>
      <c r="G87" s="110">
        <v>0</v>
      </c>
      <c r="H87" s="109">
        <f>ROUND((G87*F87),2)</f>
        <v>0</v>
      </c>
      <c r="N87" s="359"/>
      <c r="O87" s="359"/>
    </row>
    <row r="88" spans="1:15" s="375" customFormat="1" ht="45" customHeight="1">
      <c r="A88" s="41"/>
      <c r="B88" s="128">
        <v>12273</v>
      </c>
      <c r="C88" s="41"/>
      <c r="D88" s="40" t="s">
        <v>388</v>
      </c>
      <c r="E88" s="41"/>
      <c r="F88" s="103"/>
      <c r="G88" s="377"/>
      <c r="H88" s="111"/>
      <c r="N88" s="359"/>
      <c r="O88" s="359"/>
    </row>
    <row r="89" spans="1:8" ht="15" customHeight="1">
      <c r="A89" s="41"/>
      <c r="B89" s="92"/>
      <c r="C89" s="41"/>
      <c r="D89" s="40"/>
      <c r="E89" s="41"/>
      <c r="F89" s="103"/>
      <c r="G89" s="353"/>
      <c r="H89" s="104"/>
    </row>
    <row r="90" spans="1:8" ht="15" customHeight="1">
      <c r="A90" s="53">
        <v>26</v>
      </c>
      <c r="B90" s="79" t="s">
        <v>305</v>
      </c>
      <c r="C90" s="53" t="s">
        <v>278</v>
      </c>
      <c r="D90" s="34" t="s">
        <v>156</v>
      </c>
      <c r="E90" s="53" t="s">
        <v>44</v>
      </c>
      <c r="F90" s="100">
        <v>2</v>
      </c>
      <c r="G90" s="101">
        <v>0</v>
      </c>
      <c r="H90" s="109">
        <f>ROUND((G90*F90),2)</f>
        <v>0</v>
      </c>
    </row>
    <row r="91" spans="1:8" ht="45" customHeight="1">
      <c r="A91" s="41"/>
      <c r="B91" s="128" t="s">
        <v>305</v>
      </c>
      <c r="C91" s="41"/>
      <c r="D91" s="40" t="s">
        <v>633</v>
      </c>
      <c r="E91" s="41"/>
      <c r="F91" s="103"/>
      <c r="G91" s="353"/>
      <c r="H91" s="104"/>
    </row>
    <row r="92" spans="1:8" ht="15" customHeight="1">
      <c r="A92" s="41"/>
      <c r="B92" s="92"/>
      <c r="C92" s="41"/>
      <c r="D92" s="40"/>
      <c r="E92" s="41"/>
      <c r="F92" s="103"/>
      <c r="G92" s="353"/>
      <c r="H92" s="104"/>
    </row>
    <row r="93" spans="1:8" ht="15" customHeight="1">
      <c r="A93" s="53">
        <v>27</v>
      </c>
      <c r="B93" s="79" t="s">
        <v>306</v>
      </c>
      <c r="C93" s="53" t="s">
        <v>278</v>
      </c>
      <c r="D93" s="34" t="s">
        <v>307</v>
      </c>
      <c r="E93" s="53" t="s">
        <v>43</v>
      </c>
      <c r="F93" s="100">
        <f>1.2*1.5*1.7</f>
        <v>3.0599999999999996</v>
      </c>
      <c r="G93" s="101">
        <v>0</v>
      </c>
      <c r="H93" s="109">
        <f>ROUND((G93*F93),2)</f>
        <v>0</v>
      </c>
    </row>
    <row r="94" spans="1:8" ht="30" customHeight="1">
      <c r="A94" s="41"/>
      <c r="B94" s="128" t="s">
        <v>306</v>
      </c>
      <c r="C94" s="41"/>
      <c r="D94" s="40" t="s">
        <v>308</v>
      </c>
      <c r="E94" s="41"/>
      <c r="F94" s="103"/>
      <c r="G94" s="353"/>
      <c r="H94" s="104"/>
    </row>
    <row r="95" spans="1:8" ht="15" customHeight="1">
      <c r="A95" s="41"/>
      <c r="B95" s="92"/>
      <c r="C95" s="41"/>
      <c r="D95" s="40"/>
      <c r="E95" s="41"/>
      <c r="F95" s="103"/>
      <c r="G95" s="353"/>
      <c r="H95" s="104"/>
    </row>
    <row r="96" spans="1:8" ht="15" customHeight="1">
      <c r="A96" s="53">
        <v>28</v>
      </c>
      <c r="B96" s="79" t="s">
        <v>252</v>
      </c>
      <c r="C96" s="53" t="s">
        <v>249</v>
      </c>
      <c r="D96" s="34" t="s">
        <v>245</v>
      </c>
      <c r="E96" s="53" t="s">
        <v>244</v>
      </c>
      <c r="F96" s="100">
        <v>1</v>
      </c>
      <c r="G96" s="101">
        <v>0</v>
      </c>
      <c r="H96" s="109">
        <f>ROUND((G96*F96),2)</f>
        <v>0</v>
      </c>
    </row>
    <row r="97" spans="1:8" ht="30" customHeight="1">
      <c r="A97" s="41"/>
      <c r="B97" s="130" t="s">
        <v>252</v>
      </c>
      <c r="C97" s="112"/>
      <c r="D97" s="40" t="s">
        <v>309</v>
      </c>
      <c r="E97" s="112"/>
      <c r="F97" s="113"/>
      <c r="G97" s="378"/>
      <c r="H97" s="114"/>
    </row>
    <row r="98" spans="1:8" ht="15" customHeight="1">
      <c r="A98" s="41"/>
      <c r="B98" s="131"/>
      <c r="C98" s="112"/>
      <c r="D98" s="40"/>
      <c r="E98" s="112"/>
      <c r="F98" s="113"/>
      <c r="G98" s="378"/>
      <c r="H98" s="114"/>
    </row>
    <row r="99" spans="1:8" ht="15" customHeight="1">
      <c r="A99" s="53">
        <v>29</v>
      </c>
      <c r="B99" s="79" t="s">
        <v>264</v>
      </c>
      <c r="C99" s="53" t="s">
        <v>249</v>
      </c>
      <c r="D99" s="34" t="s">
        <v>246</v>
      </c>
      <c r="E99" s="53" t="s">
        <v>244</v>
      </c>
      <c r="F99" s="100">
        <v>1</v>
      </c>
      <c r="G99" s="101">
        <v>0</v>
      </c>
      <c r="H99" s="109">
        <f>ROUND((G99*F99),2)</f>
        <v>0</v>
      </c>
    </row>
    <row r="100" spans="1:8" ht="60" customHeight="1">
      <c r="A100" s="41"/>
      <c r="B100" s="130" t="s">
        <v>264</v>
      </c>
      <c r="C100" s="112"/>
      <c r="D100" s="40" t="s">
        <v>282</v>
      </c>
      <c r="E100" s="112"/>
      <c r="F100" s="113"/>
      <c r="G100" s="378"/>
      <c r="H100" s="114"/>
    </row>
    <row r="101" spans="1:8" ht="15" customHeight="1">
      <c r="A101" s="41"/>
      <c r="B101" s="131"/>
      <c r="C101" s="112"/>
      <c r="D101" s="40"/>
      <c r="E101" s="112"/>
      <c r="F101" s="113"/>
      <c r="G101" s="378"/>
      <c r="H101" s="114"/>
    </row>
    <row r="102" spans="1:15" s="375" customFormat="1" ht="15" customHeight="1">
      <c r="A102" s="53">
        <v>30</v>
      </c>
      <c r="B102" s="79" t="s">
        <v>292</v>
      </c>
      <c r="C102" s="53" t="s">
        <v>278</v>
      </c>
      <c r="D102" s="34" t="s">
        <v>293</v>
      </c>
      <c r="E102" s="53" t="s">
        <v>43</v>
      </c>
      <c r="F102" s="100">
        <f>(114.4-15.8)</f>
        <v>98.60000000000001</v>
      </c>
      <c r="G102" s="110">
        <v>0</v>
      </c>
      <c r="H102" s="109">
        <f>ROUND((G102*F102),2)</f>
        <v>0</v>
      </c>
      <c r="N102" s="359"/>
      <c r="O102" s="359"/>
    </row>
    <row r="103" spans="1:15" s="375" customFormat="1" ht="45" customHeight="1">
      <c r="A103" s="41"/>
      <c r="B103" s="130" t="s">
        <v>292</v>
      </c>
      <c r="C103" s="112"/>
      <c r="D103" s="40" t="s">
        <v>389</v>
      </c>
      <c r="E103" s="112"/>
      <c r="F103" s="113"/>
      <c r="G103" s="378"/>
      <c r="H103" s="114"/>
      <c r="N103" s="359"/>
      <c r="O103" s="359"/>
    </row>
    <row r="104" spans="1:8" ht="15" customHeight="1">
      <c r="A104" s="41"/>
      <c r="B104" s="131"/>
      <c r="C104" s="112"/>
      <c r="D104" s="40"/>
      <c r="E104" s="112"/>
      <c r="F104" s="113"/>
      <c r="G104" s="378"/>
      <c r="H104" s="114"/>
    </row>
    <row r="105" spans="1:15" s="375" customFormat="1" ht="15" customHeight="1">
      <c r="A105" s="53">
        <v>31</v>
      </c>
      <c r="B105" s="79" t="s">
        <v>295</v>
      </c>
      <c r="C105" s="53" t="s">
        <v>278</v>
      </c>
      <c r="D105" s="34" t="s">
        <v>294</v>
      </c>
      <c r="E105" s="53" t="s">
        <v>43</v>
      </c>
      <c r="F105" s="100">
        <f>330-F102</f>
        <v>231.39999999999998</v>
      </c>
      <c r="G105" s="101">
        <v>0</v>
      </c>
      <c r="H105" s="109">
        <f>ROUND((G105*F105),2)</f>
        <v>0</v>
      </c>
      <c r="N105" s="359"/>
      <c r="O105" s="359"/>
    </row>
    <row r="106" spans="1:15" s="375" customFormat="1" ht="30" customHeight="1">
      <c r="A106" s="41"/>
      <c r="B106" s="130" t="s">
        <v>295</v>
      </c>
      <c r="C106" s="112"/>
      <c r="D106" s="40" t="s">
        <v>296</v>
      </c>
      <c r="E106" s="112"/>
      <c r="F106" s="113"/>
      <c r="G106" s="378"/>
      <c r="H106" s="114"/>
      <c r="N106" s="359"/>
      <c r="O106" s="359"/>
    </row>
    <row r="107" spans="1:15" s="375" customFormat="1" ht="30" customHeight="1">
      <c r="A107" s="41"/>
      <c r="B107" s="130" t="s">
        <v>295</v>
      </c>
      <c r="C107" s="112"/>
      <c r="D107" s="40" t="s">
        <v>390</v>
      </c>
      <c r="E107" s="112"/>
      <c r="F107" s="113"/>
      <c r="G107" s="378"/>
      <c r="H107" s="114"/>
      <c r="N107" s="359"/>
      <c r="O107" s="359"/>
    </row>
    <row r="108" spans="1:8" ht="15" customHeight="1">
      <c r="A108" s="41"/>
      <c r="B108" s="131"/>
      <c r="C108" s="112"/>
      <c r="D108" s="40"/>
      <c r="E108" s="112"/>
      <c r="F108" s="113"/>
      <c r="G108" s="378"/>
      <c r="H108" s="114"/>
    </row>
    <row r="109" spans="1:8" ht="15" customHeight="1">
      <c r="A109" s="53">
        <v>32</v>
      </c>
      <c r="B109" s="79" t="s">
        <v>297</v>
      </c>
      <c r="C109" s="53" t="s">
        <v>278</v>
      </c>
      <c r="D109" s="34" t="s">
        <v>298</v>
      </c>
      <c r="E109" s="53" t="s">
        <v>45</v>
      </c>
      <c r="F109" s="100">
        <f>58*3*2</f>
        <v>348</v>
      </c>
      <c r="G109" s="101">
        <v>0</v>
      </c>
      <c r="H109" s="109">
        <f>ROUND((G109*F109),2)</f>
        <v>0</v>
      </c>
    </row>
    <row r="110" spans="1:8" ht="30" customHeight="1">
      <c r="A110" s="41"/>
      <c r="B110" s="128" t="s">
        <v>297</v>
      </c>
      <c r="C110" s="41"/>
      <c r="D110" s="40" t="s">
        <v>635</v>
      </c>
      <c r="E110" s="41"/>
      <c r="F110" s="103"/>
      <c r="G110" s="353"/>
      <c r="H110" s="115"/>
    </row>
    <row r="111" spans="1:8" ht="15" customHeight="1">
      <c r="A111" s="41"/>
      <c r="B111" s="128" t="s">
        <v>297</v>
      </c>
      <c r="C111" s="41"/>
      <c r="D111" s="40" t="s">
        <v>331</v>
      </c>
      <c r="E111" s="41"/>
      <c r="F111" s="103"/>
      <c r="G111" s="353"/>
      <c r="H111" s="104"/>
    </row>
    <row r="112" spans="1:8" ht="60" customHeight="1">
      <c r="A112" s="41"/>
      <c r="B112" s="128" t="s">
        <v>297</v>
      </c>
      <c r="C112" s="41"/>
      <c r="D112" s="40" t="s">
        <v>299</v>
      </c>
      <c r="E112" s="41"/>
      <c r="F112" s="103"/>
      <c r="G112" s="353"/>
      <c r="H112" s="104"/>
    </row>
    <row r="113" spans="1:8" ht="15" customHeight="1">
      <c r="A113" s="41"/>
      <c r="B113" s="128" t="s">
        <v>297</v>
      </c>
      <c r="C113" s="41"/>
      <c r="D113" s="40" t="s">
        <v>582</v>
      </c>
      <c r="E113" s="41"/>
      <c r="F113" s="103"/>
      <c r="G113" s="353"/>
      <c r="H113" s="104"/>
    </row>
    <row r="114" spans="1:8" ht="15" customHeight="1">
      <c r="A114" s="41"/>
      <c r="B114" s="92"/>
      <c r="C114" s="41"/>
      <c r="D114" s="40"/>
      <c r="E114" s="41"/>
      <c r="F114" s="103"/>
      <c r="G114" s="353"/>
      <c r="H114" s="104"/>
    </row>
    <row r="115" spans="1:15" s="375" customFormat="1" ht="15" customHeight="1">
      <c r="A115" s="53">
        <v>33</v>
      </c>
      <c r="B115" s="79" t="s">
        <v>300</v>
      </c>
      <c r="C115" s="53" t="s">
        <v>278</v>
      </c>
      <c r="D115" s="34" t="s">
        <v>301</v>
      </c>
      <c r="E115" s="53" t="s">
        <v>43</v>
      </c>
      <c r="F115" s="100">
        <f>F109*0.3</f>
        <v>104.39999999999999</v>
      </c>
      <c r="G115" s="101">
        <v>0</v>
      </c>
      <c r="H115" s="109">
        <f>ROUND((G115*F115),2)</f>
        <v>0</v>
      </c>
      <c r="N115" s="359"/>
      <c r="O115" s="359"/>
    </row>
    <row r="116" spans="1:8" ht="45" customHeight="1">
      <c r="A116" s="41"/>
      <c r="B116" s="128" t="s">
        <v>300</v>
      </c>
      <c r="C116" s="41"/>
      <c r="D116" s="40" t="s">
        <v>302</v>
      </c>
      <c r="E116" s="41"/>
      <c r="F116" s="103"/>
      <c r="G116" s="353"/>
      <c r="H116" s="104"/>
    </row>
    <row r="117" spans="1:8" ht="15" customHeight="1">
      <c r="A117" s="41"/>
      <c r="B117" s="92"/>
      <c r="C117" s="41"/>
      <c r="D117" s="40"/>
      <c r="E117" s="41"/>
      <c r="F117" s="103"/>
      <c r="G117" s="353"/>
      <c r="H117" s="104"/>
    </row>
    <row r="118" spans="1:15" s="375" customFormat="1" ht="15" customHeight="1">
      <c r="A118" s="53">
        <v>34</v>
      </c>
      <c r="B118" s="79">
        <v>12273</v>
      </c>
      <c r="C118" s="53" t="s">
        <v>278</v>
      </c>
      <c r="D118" s="34" t="s">
        <v>231</v>
      </c>
      <c r="E118" s="53" t="s">
        <v>43</v>
      </c>
      <c r="F118" s="100">
        <f>F102+F105</f>
        <v>330</v>
      </c>
      <c r="G118" s="110">
        <v>0</v>
      </c>
      <c r="H118" s="109">
        <f>ROUND((G118*F118),2)</f>
        <v>0</v>
      </c>
      <c r="N118" s="359"/>
      <c r="O118" s="359"/>
    </row>
    <row r="119" spans="1:15" s="375" customFormat="1" ht="30" customHeight="1">
      <c r="A119" s="41"/>
      <c r="B119" s="128">
        <v>12273</v>
      </c>
      <c r="C119" s="41"/>
      <c r="D119" s="40" t="s">
        <v>391</v>
      </c>
      <c r="E119" s="41"/>
      <c r="F119" s="103"/>
      <c r="G119" s="377"/>
      <c r="H119" s="111"/>
      <c r="N119" s="359"/>
      <c r="O119" s="359"/>
    </row>
    <row r="120" spans="1:8" ht="15" customHeight="1">
      <c r="A120" s="41"/>
      <c r="B120" s="92"/>
      <c r="C120" s="41"/>
      <c r="D120" s="40"/>
      <c r="E120" s="41"/>
      <c r="F120" s="103"/>
      <c r="G120" s="362"/>
      <c r="H120" s="111"/>
    </row>
    <row r="121" spans="1:15" s="375" customFormat="1" ht="15" customHeight="1">
      <c r="A121" s="53">
        <v>35</v>
      </c>
      <c r="B121" s="79">
        <v>14102</v>
      </c>
      <c r="C121" s="53" t="s">
        <v>278</v>
      </c>
      <c r="D121" s="34" t="s">
        <v>112</v>
      </c>
      <c r="E121" s="53" t="s">
        <v>44</v>
      </c>
      <c r="F121" s="100">
        <f>(98.6+231.362)*1.9</f>
        <v>626.9277999999999</v>
      </c>
      <c r="G121" s="101">
        <v>0</v>
      </c>
      <c r="H121" s="109">
        <f>ROUND((G121*F121),2)</f>
        <v>0</v>
      </c>
      <c r="N121" s="359"/>
      <c r="O121" s="359"/>
    </row>
    <row r="122" spans="1:15" s="375" customFormat="1" ht="15" customHeight="1">
      <c r="A122" s="41"/>
      <c r="B122" s="128">
        <v>14102</v>
      </c>
      <c r="C122" s="41"/>
      <c r="D122" s="40" t="s">
        <v>392</v>
      </c>
      <c r="E122" s="41"/>
      <c r="F122" s="103"/>
      <c r="G122" s="353"/>
      <c r="H122" s="104"/>
      <c r="N122" s="359"/>
      <c r="O122" s="359"/>
    </row>
    <row r="123" spans="1:8" ht="15" customHeight="1">
      <c r="A123" s="41"/>
      <c r="B123" s="131"/>
      <c r="C123" s="112"/>
      <c r="D123" s="40"/>
      <c r="E123" s="112"/>
      <c r="F123" s="113"/>
      <c r="G123" s="378"/>
      <c r="H123" s="114"/>
    </row>
    <row r="124" spans="1:8" ht="15" customHeight="1">
      <c r="A124" s="53">
        <v>36</v>
      </c>
      <c r="B124" s="79" t="s">
        <v>242</v>
      </c>
      <c r="C124" s="53" t="s">
        <v>278</v>
      </c>
      <c r="D124" s="34" t="s">
        <v>241</v>
      </c>
      <c r="E124" s="53" t="s">
        <v>63</v>
      </c>
      <c r="F124" s="100">
        <v>1</v>
      </c>
      <c r="G124" s="101">
        <v>0</v>
      </c>
      <c r="H124" s="109">
        <f>ROUND((G124*F124),2)</f>
        <v>0</v>
      </c>
    </row>
    <row r="125" spans="1:8" ht="30" customHeight="1">
      <c r="A125" s="41"/>
      <c r="B125" s="128" t="s">
        <v>242</v>
      </c>
      <c r="C125" s="41"/>
      <c r="D125" s="40" t="s">
        <v>384</v>
      </c>
      <c r="E125" s="41"/>
      <c r="F125" s="103"/>
      <c r="G125" s="353"/>
      <c r="H125" s="111"/>
    </row>
    <row r="126" spans="1:8" s="375" customFormat="1" ht="15" customHeight="1">
      <c r="A126" s="41"/>
      <c r="B126" s="92"/>
      <c r="C126" s="41"/>
      <c r="D126" s="40"/>
      <c r="E126" s="41"/>
      <c r="F126" s="103"/>
      <c r="G126" s="353"/>
      <c r="H126" s="104"/>
    </row>
    <row r="127" spans="1:8" ht="15" customHeight="1">
      <c r="A127" s="53">
        <v>37</v>
      </c>
      <c r="B127" s="79">
        <v>451314</v>
      </c>
      <c r="C127" s="53" t="s">
        <v>278</v>
      </c>
      <c r="D127" s="34" t="s">
        <v>127</v>
      </c>
      <c r="E127" s="53" t="s">
        <v>43</v>
      </c>
      <c r="F127" s="100">
        <f>6.7+7.7+0.6</f>
        <v>15</v>
      </c>
      <c r="G127" s="101">
        <v>0</v>
      </c>
      <c r="H127" s="109">
        <f>ROUND((G127*F127),2)</f>
        <v>0</v>
      </c>
    </row>
    <row r="128" spans="1:8" ht="15" customHeight="1">
      <c r="A128" s="41"/>
      <c r="B128" s="128">
        <v>451314</v>
      </c>
      <c r="C128" s="41"/>
      <c r="D128" s="40" t="s">
        <v>140</v>
      </c>
      <c r="E128" s="41"/>
      <c r="F128" s="103"/>
      <c r="G128" s="353"/>
      <c r="H128" s="111"/>
    </row>
    <row r="129" spans="1:8" ht="15" customHeight="1">
      <c r="A129" s="41"/>
      <c r="B129" s="128">
        <v>451314</v>
      </c>
      <c r="C129" s="41"/>
      <c r="D129" s="40" t="s">
        <v>360</v>
      </c>
      <c r="E129" s="41"/>
      <c r="F129" s="103"/>
      <c r="G129" s="353"/>
      <c r="H129" s="104"/>
    </row>
    <row r="130" spans="1:8" ht="15" customHeight="1">
      <c r="A130" s="41"/>
      <c r="B130" s="128">
        <v>451314</v>
      </c>
      <c r="C130" s="41"/>
      <c r="D130" s="40" t="s">
        <v>361</v>
      </c>
      <c r="E130" s="41"/>
      <c r="F130" s="103"/>
      <c r="G130" s="353"/>
      <c r="H130" s="104"/>
    </row>
    <row r="131" spans="1:8" ht="15" customHeight="1">
      <c r="A131" s="41"/>
      <c r="B131" s="128">
        <v>451314</v>
      </c>
      <c r="C131" s="41"/>
      <c r="D131" s="40" t="s">
        <v>362</v>
      </c>
      <c r="E131" s="41"/>
      <c r="F131" s="103"/>
      <c r="G131" s="353"/>
      <c r="H131" s="104"/>
    </row>
    <row r="132" spans="1:8" ht="15" customHeight="1">
      <c r="A132" s="41"/>
      <c r="B132" s="92"/>
      <c r="C132" s="41"/>
      <c r="D132" s="40"/>
      <c r="E132" s="41"/>
      <c r="F132" s="103"/>
      <c r="G132" s="353"/>
      <c r="H132" s="104"/>
    </row>
    <row r="133" spans="1:15" s="375" customFormat="1" ht="15" customHeight="1">
      <c r="A133" s="53">
        <v>38</v>
      </c>
      <c r="B133" s="79">
        <v>18214</v>
      </c>
      <c r="C133" s="53" t="s">
        <v>278</v>
      </c>
      <c r="D133" s="34" t="s">
        <v>108</v>
      </c>
      <c r="E133" s="53" t="s">
        <v>45</v>
      </c>
      <c r="F133" s="100">
        <f>4*13</f>
        <v>52</v>
      </c>
      <c r="G133" s="101">
        <v>0</v>
      </c>
      <c r="H133" s="109">
        <f>ROUND((G133*F133),2)</f>
        <v>0</v>
      </c>
      <c r="N133" s="359"/>
      <c r="O133" s="359"/>
    </row>
    <row r="134" spans="1:8" ht="15" customHeight="1">
      <c r="A134" s="41"/>
      <c r="B134" s="128">
        <v>18214</v>
      </c>
      <c r="C134" s="41"/>
      <c r="D134" s="40" t="s">
        <v>634</v>
      </c>
      <c r="E134" s="41"/>
      <c r="F134" s="103"/>
      <c r="G134" s="353"/>
      <c r="H134" s="104"/>
    </row>
    <row r="135" spans="1:8" ht="15" customHeight="1">
      <c r="A135" s="41"/>
      <c r="B135" s="92"/>
      <c r="C135" s="41"/>
      <c r="D135" s="40"/>
      <c r="E135" s="41"/>
      <c r="F135" s="103"/>
      <c r="G135" s="353"/>
      <c r="H135" s="104"/>
    </row>
    <row r="136" spans="1:15" s="375" customFormat="1" ht="15" customHeight="1">
      <c r="A136" s="53">
        <v>39</v>
      </c>
      <c r="B136" s="379">
        <v>18221</v>
      </c>
      <c r="C136" s="53" t="s">
        <v>278</v>
      </c>
      <c r="D136" s="34" t="s">
        <v>109</v>
      </c>
      <c r="E136" s="53" t="s">
        <v>45</v>
      </c>
      <c r="F136" s="100">
        <f>F133</f>
        <v>52</v>
      </c>
      <c r="G136" s="101">
        <v>0</v>
      </c>
      <c r="H136" s="109">
        <f>ROUND((G136*F136),2)</f>
        <v>0</v>
      </c>
      <c r="N136" s="359"/>
      <c r="O136" s="359"/>
    </row>
    <row r="137" spans="1:8" ht="15" customHeight="1">
      <c r="A137" s="41"/>
      <c r="B137" s="128">
        <v>18221</v>
      </c>
      <c r="C137" s="41"/>
      <c r="D137" s="40" t="s">
        <v>111</v>
      </c>
      <c r="E137" s="41"/>
      <c r="F137" s="103"/>
      <c r="G137" s="353"/>
      <c r="H137" s="111"/>
    </row>
    <row r="138" spans="1:8" ht="15" customHeight="1">
      <c r="A138" s="41"/>
      <c r="B138" s="92"/>
      <c r="C138" s="41"/>
      <c r="D138" s="40"/>
      <c r="E138" s="41"/>
      <c r="F138" s="103"/>
      <c r="G138" s="353"/>
      <c r="H138" s="111"/>
    </row>
    <row r="139" spans="1:15" s="375" customFormat="1" ht="15" customHeight="1">
      <c r="A139" s="53">
        <v>40</v>
      </c>
      <c r="B139" s="379">
        <v>18241</v>
      </c>
      <c r="C139" s="53" t="s">
        <v>278</v>
      </c>
      <c r="D139" s="34" t="s">
        <v>110</v>
      </c>
      <c r="E139" s="53" t="s">
        <v>45</v>
      </c>
      <c r="F139" s="100">
        <f>F136</f>
        <v>52</v>
      </c>
      <c r="G139" s="101">
        <v>0</v>
      </c>
      <c r="H139" s="109">
        <f>ROUND((G139*F139),2)</f>
        <v>0</v>
      </c>
      <c r="N139" s="359"/>
      <c r="O139" s="359"/>
    </row>
    <row r="140" spans="1:8" ht="15" customHeight="1">
      <c r="A140" s="41"/>
      <c r="B140" s="128">
        <v>18241</v>
      </c>
      <c r="C140" s="41"/>
      <c r="D140" s="40" t="s">
        <v>111</v>
      </c>
      <c r="E140" s="41"/>
      <c r="F140" s="103"/>
      <c r="G140" s="353"/>
      <c r="H140" s="104"/>
    </row>
    <row r="141" spans="1:8" ht="15" customHeight="1">
      <c r="A141" s="41"/>
      <c r="B141" s="92"/>
      <c r="C141" s="41"/>
      <c r="D141" s="40"/>
      <c r="E141" s="41"/>
      <c r="F141" s="103"/>
      <c r="G141" s="353"/>
      <c r="H141" s="104"/>
    </row>
    <row r="142" spans="1:8" ht="15" customHeight="1">
      <c r="A142" s="53">
        <v>41</v>
      </c>
      <c r="B142" s="368">
        <v>282611</v>
      </c>
      <c r="C142" s="53" t="s">
        <v>278</v>
      </c>
      <c r="D142" s="34" t="s">
        <v>113</v>
      </c>
      <c r="E142" s="355" t="s">
        <v>43</v>
      </c>
      <c r="F142" s="100">
        <f>PI()*0.3*0.3/4*4.5*30</f>
        <v>9.542587685278997</v>
      </c>
      <c r="G142" s="108">
        <v>0</v>
      </c>
      <c r="H142" s="109">
        <f>ROUND((G142*F142),2)</f>
        <v>0</v>
      </c>
    </row>
    <row r="143" spans="1:8" ht="15" customHeight="1">
      <c r="A143" s="41"/>
      <c r="B143" s="128">
        <v>282611</v>
      </c>
      <c r="C143" s="41"/>
      <c r="D143" s="40" t="s">
        <v>134</v>
      </c>
      <c r="E143" s="41"/>
      <c r="F143" s="103"/>
      <c r="G143" s="353"/>
      <c r="H143" s="104"/>
    </row>
    <row r="144" spans="1:8" ht="45" customHeight="1">
      <c r="A144" s="41"/>
      <c r="B144" s="128">
        <v>282611</v>
      </c>
      <c r="C144" s="41"/>
      <c r="D144" s="40" t="s">
        <v>404</v>
      </c>
      <c r="E144" s="41"/>
      <c r="F144" s="103"/>
      <c r="G144" s="353"/>
      <c r="H144" s="104"/>
    </row>
    <row r="145" spans="1:8" ht="15" customHeight="1">
      <c r="A145" s="41"/>
      <c r="B145" s="92"/>
      <c r="C145" s="41"/>
      <c r="D145" s="40"/>
      <c r="E145" s="41"/>
      <c r="F145" s="103"/>
      <c r="G145" s="353"/>
      <c r="H145" s="104"/>
    </row>
    <row r="146" spans="1:15" s="375" customFormat="1" ht="15" customHeight="1">
      <c r="A146" s="53">
        <v>42</v>
      </c>
      <c r="B146" s="379">
        <v>261815</v>
      </c>
      <c r="C146" s="379" t="s">
        <v>278</v>
      </c>
      <c r="D146" s="34" t="s">
        <v>206</v>
      </c>
      <c r="E146" s="380" t="s">
        <v>47</v>
      </c>
      <c r="F146" s="380">
        <f>30*4.5</f>
        <v>135</v>
      </c>
      <c r="G146" s="110">
        <v>0</v>
      </c>
      <c r="H146" s="109">
        <f>ROUND((G146*F146),2)</f>
        <v>0</v>
      </c>
      <c r="N146" s="359"/>
      <c r="O146" s="359"/>
    </row>
    <row r="147" spans="1:8" ht="15" customHeight="1">
      <c r="A147" s="41"/>
      <c r="B147" s="128">
        <v>261815</v>
      </c>
      <c r="C147" s="41"/>
      <c r="D147" s="40" t="s">
        <v>135</v>
      </c>
      <c r="E147" s="41"/>
      <c r="F147" s="103"/>
      <c r="G147" s="362"/>
      <c r="H147" s="111"/>
    </row>
    <row r="148" spans="1:8" ht="15" customHeight="1">
      <c r="A148" s="41"/>
      <c r="B148" s="128">
        <v>261815</v>
      </c>
      <c r="C148" s="41"/>
      <c r="D148" s="40" t="s">
        <v>205</v>
      </c>
      <c r="E148" s="41"/>
      <c r="F148" s="103"/>
      <c r="G148" s="353"/>
      <c r="H148" s="104"/>
    </row>
    <row r="149" spans="1:8" ht="15" customHeight="1">
      <c r="A149" s="41"/>
      <c r="B149" s="92"/>
      <c r="C149" s="41"/>
      <c r="D149" s="40"/>
      <c r="E149" s="41"/>
      <c r="F149" s="103"/>
      <c r="G149" s="353"/>
      <c r="H149" s="104"/>
    </row>
    <row r="150" spans="1:15" s="375" customFormat="1" ht="15" customHeight="1">
      <c r="A150" s="53">
        <v>43</v>
      </c>
      <c r="B150" s="79">
        <v>264141</v>
      </c>
      <c r="C150" s="79" t="s">
        <v>278</v>
      </c>
      <c r="D150" s="34" t="s">
        <v>123</v>
      </c>
      <c r="E150" s="53" t="s">
        <v>47</v>
      </c>
      <c r="F150" s="53">
        <f>10*6</f>
        <v>60</v>
      </c>
      <c r="G150" s="116">
        <v>0</v>
      </c>
      <c r="H150" s="109">
        <f>ROUND((G150*F150),2)</f>
        <v>0</v>
      </c>
      <c r="N150" s="359"/>
      <c r="O150" s="359"/>
    </row>
    <row r="151" spans="1:8" ht="15" customHeight="1">
      <c r="A151" s="41"/>
      <c r="B151" s="128">
        <v>264141</v>
      </c>
      <c r="C151" s="117"/>
      <c r="D151" s="27" t="s">
        <v>137</v>
      </c>
      <c r="E151" s="41"/>
      <c r="F151" s="41"/>
      <c r="G151" s="118"/>
      <c r="H151" s="118"/>
    </row>
    <row r="152" spans="1:8" ht="15" customHeight="1">
      <c r="A152" s="27"/>
      <c r="B152" s="92"/>
      <c r="C152" s="119"/>
      <c r="D152" s="27"/>
      <c r="E152" s="41"/>
      <c r="F152" s="41"/>
      <c r="G152" s="118"/>
      <c r="H152" s="118"/>
    </row>
    <row r="153" spans="1:15" s="375" customFormat="1" ht="15" customHeight="1">
      <c r="A153" s="53">
        <v>44</v>
      </c>
      <c r="B153" s="79">
        <v>264241</v>
      </c>
      <c r="C153" s="79" t="s">
        <v>278</v>
      </c>
      <c r="D153" s="34" t="s">
        <v>124</v>
      </c>
      <c r="E153" s="53" t="s">
        <v>47</v>
      </c>
      <c r="F153" s="53">
        <f>10*1.5</f>
        <v>15</v>
      </c>
      <c r="G153" s="116">
        <v>0</v>
      </c>
      <c r="H153" s="109">
        <f>ROUND((G153*F153),2)</f>
        <v>0</v>
      </c>
      <c r="N153" s="359"/>
      <c r="O153" s="359"/>
    </row>
    <row r="154" spans="1:8" ht="15" customHeight="1">
      <c r="A154" s="41"/>
      <c r="B154" s="128">
        <v>264241</v>
      </c>
      <c r="C154" s="117"/>
      <c r="D154" s="27" t="s">
        <v>138</v>
      </c>
      <c r="E154" s="41"/>
      <c r="F154" s="41"/>
      <c r="G154" s="118"/>
      <c r="H154" s="118"/>
    </row>
    <row r="155" spans="1:8" ht="15" customHeight="1">
      <c r="A155" s="27"/>
      <c r="B155" s="92"/>
      <c r="C155" s="119"/>
      <c r="D155" s="27"/>
      <c r="E155" s="41"/>
      <c r="F155" s="41"/>
      <c r="G155" s="118"/>
      <c r="H155" s="118"/>
    </row>
    <row r="156" spans="1:15" s="375" customFormat="1" ht="15" customHeight="1">
      <c r="A156" s="53">
        <v>45</v>
      </c>
      <c r="B156" s="79">
        <v>264341</v>
      </c>
      <c r="C156" s="79" t="s">
        <v>278</v>
      </c>
      <c r="D156" s="34" t="s">
        <v>125</v>
      </c>
      <c r="E156" s="53" t="s">
        <v>47</v>
      </c>
      <c r="F156" s="53">
        <f>10*3.4</f>
        <v>34</v>
      </c>
      <c r="G156" s="116">
        <v>0</v>
      </c>
      <c r="H156" s="109">
        <f>ROUND((G156*F156),2)</f>
        <v>0</v>
      </c>
      <c r="N156" s="359"/>
      <c r="O156" s="359"/>
    </row>
    <row r="157" spans="1:8" ht="15" customHeight="1">
      <c r="A157" s="41"/>
      <c r="B157" s="128">
        <v>264341</v>
      </c>
      <c r="C157" s="41"/>
      <c r="D157" s="27" t="s">
        <v>139</v>
      </c>
      <c r="E157" s="41"/>
      <c r="F157" s="41"/>
      <c r="G157" s="118"/>
      <c r="H157" s="118"/>
    </row>
    <row r="158" spans="1:8" ht="15" customHeight="1">
      <c r="A158" s="27"/>
      <c r="B158" s="92"/>
      <c r="C158" s="41"/>
      <c r="D158" s="27"/>
      <c r="E158" s="41"/>
      <c r="F158" s="41"/>
      <c r="G158" s="118"/>
      <c r="H158" s="118"/>
    </row>
    <row r="159" spans="1:8" ht="15" customHeight="1">
      <c r="A159" s="53">
        <v>46</v>
      </c>
      <c r="B159" s="79">
        <v>224325</v>
      </c>
      <c r="C159" s="53" t="s">
        <v>278</v>
      </c>
      <c r="D159" s="34" t="s">
        <v>46</v>
      </c>
      <c r="E159" s="53" t="s">
        <v>43</v>
      </c>
      <c r="F159" s="120">
        <f>3.14*0.88*0.88/4*10*10</f>
        <v>60.790400000000005</v>
      </c>
      <c r="G159" s="116">
        <v>0</v>
      </c>
      <c r="H159" s="109">
        <f>ROUND((G159*F159),2)</f>
        <v>0</v>
      </c>
    </row>
    <row r="160" spans="1:8" ht="15" customHeight="1">
      <c r="A160" s="41"/>
      <c r="B160" s="128">
        <v>224325</v>
      </c>
      <c r="C160" s="41"/>
      <c r="D160" s="27" t="s">
        <v>386</v>
      </c>
      <c r="E160" s="41"/>
      <c r="F160" s="41"/>
      <c r="G160" s="118"/>
      <c r="H160" s="118"/>
    </row>
    <row r="161" spans="1:8" ht="15" customHeight="1">
      <c r="A161" s="27"/>
      <c r="B161" s="92"/>
      <c r="C161" s="41"/>
      <c r="D161" s="27"/>
      <c r="E161" s="41"/>
      <c r="F161" s="41"/>
      <c r="G161" s="118"/>
      <c r="H161" s="118"/>
    </row>
    <row r="162" spans="1:8" ht="15" customHeight="1">
      <c r="A162" s="53">
        <v>47</v>
      </c>
      <c r="B162" s="79">
        <v>224365</v>
      </c>
      <c r="C162" s="53" t="s">
        <v>278</v>
      </c>
      <c r="D162" s="34" t="s">
        <v>126</v>
      </c>
      <c r="E162" s="53" t="s">
        <v>44</v>
      </c>
      <c r="F162" s="120">
        <f>160*F159/1000</f>
        <v>9.726464</v>
      </c>
      <c r="G162" s="116">
        <v>0</v>
      </c>
      <c r="H162" s="109">
        <f>ROUND((G162*F162),2)</f>
        <v>0</v>
      </c>
    </row>
    <row r="163" spans="1:8" ht="15" customHeight="1">
      <c r="A163" s="41"/>
      <c r="B163" s="132">
        <v>224365</v>
      </c>
      <c r="C163" s="41"/>
      <c r="D163" s="27" t="s">
        <v>136</v>
      </c>
      <c r="E163" s="41"/>
      <c r="F163" s="41"/>
      <c r="G163" s="118"/>
      <c r="H163" s="118"/>
    </row>
    <row r="164" spans="1:8" ht="15" customHeight="1">
      <c r="A164" s="52"/>
      <c r="B164" s="119"/>
      <c r="C164" s="42"/>
      <c r="D164" s="52"/>
      <c r="E164" s="42"/>
      <c r="F164" s="42"/>
      <c r="G164" s="121"/>
      <c r="H164" s="121"/>
    </row>
    <row r="165" spans="1:15" s="375" customFormat="1" ht="15" customHeight="1">
      <c r="A165" s="53">
        <v>48</v>
      </c>
      <c r="B165" s="79">
        <v>13173</v>
      </c>
      <c r="C165" s="53" t="s">
        <v>278</v>
      </c>
      <c r="D165" s="34" t="s">
        <v>233</v>
      </c>
      <c r="E165" s="380" t="s">
        <v>43</v>
      </c>
      <c r="F165" s="380">
        <f>244.8+38.8</f>
        <v>283.6</v>
      </c>
      <c r="G165" s="110">
        <v>0</v>
      </c>
      <c r="H165" s="109">
        <f>ROUND((G165*F165),2)</f>
        <v>0</v>
      </c>
      <c r="N165" s="359"/>
      <c r="O165" s="359"/>
    </row>
    <row r="166" spans="1:15" s="375" customFormat="1" ht="75" customHeight="1">
      <c r="A166" s="41"/>
      <c r="B166" s="132">
        <v>13173</v>
      </c>
      <c r="C166" s="381"/>
      <c r="D166" s="40" t="s">
        <v>363</v>
      </c>
      <c r="E166" s="381"/>
      <c r="F166" s="381"/>
      <c r="G166" s="377"/>
      <c r="H166" s="111"/>
      <c r="N166" s="359"/>
      <c r="O166" s="359"/>
    </row>
    <row r="167" spans="1:15" s="375" customFormat="1" ht="30" customHeight="1">
      <c r="A167" s="41"/>
      <c r="B167" s="128">
        <v>13173</v>
      </c>
      <c r="C167" s="381"/>
      <c r="D167" s="40" t="s">
        <v>330</v>
      </c>
      <c r="E167" s="381"/>
      <c r="F167" s="381"/>
      <c r="G167" s="377"/>
      <c r="H167" s="111"/>
      <c r="N167" s="359"/>
      <c r="O167" s="359"/>
    </row>
    <row r="168" spans="1:8" ht="15" customHeight="1">
      <c r="A168" s="41"/>
      <c r="B168" s="119"/>
      <c r="C168" s="41"/>
      <c r="D168" s="40"/>
      <c r="E168" s="41"/>
      <c r="F168" s="103"/>
      <c r="G168" s="353"/>
      <c r="H168" s="104"/>
    </row>
    <row r="169" spans="1:8" ht="15" customHeight="1">
      <c r="A169" s="53">
        <v>49</v>
      </c>
      <c r="B169" s="79">
        <v>212635</v>
      </c>
      <c r="C169" s="53" t="s">
        <v>278</v>
      </c>
      <c r="D169" s="34" t="s">
        <v>122</v>
      </c>
      <c r="E169" s="53" t="s">
        <v>47</v>
      </c>
      <c r="F169" s="100">
        <v>33</v>
      </c>
      <c r="G169" s="101">
        <v>0</v>
      </c>
      <c r="H169" s="109">
        <f>ROUND((G169*F169),2)</f>
        <v>0</v>
      </c>
    </row>
    <row r="170" spans="1:8" ht="15" customHeight="1">
      <c r="A170" s="41"/>
      <c r="B170" s="132">
        <v>212635</v>
      </c>
      <c r="C170" s="41"/>
      <c r="D170" s="40" t="s">
        <v>207</v>
      </c>
      <c r="E170" s="41"/>
      <c r="F170" s="103"/>
      <c r="G170" s="353"/>
      <c r="H170" s="104"/>
    </row>
    <row r="171" spans="1:8" ht="15" customHeight="1">
      <c r="A171" s="41"/>
      <c r="B171" s="119"/>
      <c r="C171" s="41"/>
      <c r="D171" s="40"/>
      <c r="E171" s="41"/>
      <c r="F171" s="103"/>
      <c r="G171" s="353"/>
      <c r="H171" s="104"/>
    </row>
    <row r="172" spans="1:8" ht="15" customHeight="1">
      <c r="A172" s="53">
        <v>50</v>
      </c>
      <c r="B172" s="79">
        <v>272325</v>
      </c>
      <c r="C172" s="53" t="s">
        <v>278</v>
      </c>
      <c r="D172" s="34" t="s">
        <v>49</v>
      </c>
      <c r="E172" s="355" t="s">
        <v>43</v>
      </c>
      <c r="F172" s="382">
        <v>59.6</v>
      </c>
      <c r="G172" s="108">
        <v>0</v>
      </c>
      <c r="H172" s="109">
        <f>ROUND((G172*F172),2)</f>
        <v>0</v>
      </c>
    </row>
    <row r="173" spans="1:8" ht="15" customHeight="1">
      <c r="A173" s="41"/>
      <c r="B173" s="132">
        <v>272325</v>
      </c>
      <c r="C173" s="41"/>
      <c r="D173" s="40" t="s">
        <v>364</v>
      </c>
      <c r="E173" s="41"/>
      <c r="F173" s="103"/>
      <c r="G173" s="353"/>
      <c r="H173" s="104"/>
    </row>
    <row r="174" spans="1:8" ht="15" customHeight="1">
      <c r="A174" s="41"/>
      <c r="B174" s="119"/>
      <c r="C174" s="41"/>
      <c r="D174" s="122"/>
      <c r="E174" s="41"/>
      <c r="F174" s="103"/>
      <c r="G174" s="353"/>
      <c r="H174" s="104"/>
    </row>
    <row r="175" spans="1:8" ht="15" customHeight="1">
      <c r="A175" s="53">
        <v>51</v>
      </c>
      <c r="B175" s="79">
        <v>272365</v>
      </c>
      <c r="C175" s="53" t="s">
        <v>278</v>
      </c>
      <c r="D175" s="34" t="s">
        <v>143</v>
      </c>
      <c r="E175" s="355" t="s">
        <v>44</v>
      </c>
      <c r="F175" s="382">
        <f>0.15*F172</f>
        <v>8.94</v>
      </c>
      <c r="G175" s="108">
        <v>0</v>
      </c>
      <c r="H175" s="109">
        <f>ROUND((G175*F175),2)</f>
        <v>0</v>
      </c>
    </row>
    <row r="176" spans="1:8" ht="15" customHeight="1">
      <c r="A176" s="41"/>
      <c r="B176" s="132">
        <v>272365</v>
      </c>
      <c r="C176" s="41"/>
      <c r="D176" s="40" t="s">
        <v>144</v>
      </c>
      <c r="E176" s="123"/>
      <c r="F176" s="41"/>
      <c r="G176" s="383"/>
      <c r="H176" s="118"/>
    </row>
    <row r="177" spans="1:8" ht="15" customHeight="1">
      <c r="A177" s="41"/>
      <c r="B177" s="119"/>
      <c r="C177" s="41"/>
      <c r="D177" s="122"/>
      <c r="E177" s="41"/>
      <c r="F177" s="103"/>
      <c r="G177" s="353"/>
      <c r="H177" s="104"/>
    </row>
    <row r="178" spans="1:8" ht="15" customHeight="1">
      <c r="A178" s="53">
        <v>52</v>
      </c>
      <c r="B178" s="79">
        <v>272325</v>
      </c>
      <c r="C178" s="53" t="s">
        <v>278</v>
      </c>
      <c r="D178" s="34" t="s">
        <v>49</v>
      </c>
      <c r="E178" s="355" t="s">
        <v>43</v>
      </c>
      <c r="F178" s="382">
        <f>2.8*8*0.7</f>
        <v>15.679999999999998</v>
      </c>
      <c r="G178" s="108">
        <v>0</v>
      </c>
      <c r="H178" s="109">
        <f>ROUND((G178*F178),2)</f>
        <v>0</v>
      </c>
    </row>
    <row r="179" spans="1:8" ht="15" customHeight="1">
      <c r="A179" s="41"/>
      <c r="B179" s="132">
        <v>272325</v>
      </c>
      <c r="C179" s="41"/>
      <c r="D179" s="40" t="s">
        <v>224</v>
      </c>
      <c r="E179" s="41"/>
      <c r="F179" s="103"/>
      <c r="G179" s="353"/>
      <c r="H179" s="104"/>
    </row>
    <row r="180" spans="1:8" ht="15" customHeight="1">
      <c r="A180" s="41"/>
      <c r="B180" s="119"/>
      <c r="C180" s="41"/>
      <c r="D180" s="40"/>
      <c r="E180" s="41"/>
      <c r="F180" s="103"/>
      <c r="G180" s="353"/>
      <c r="H180" s="104"/>
    </row>
    <row r="181" spans="1:8" ht="15" customHeight="1">
      <c r="A181" s="53">
        <v>53</v>
      </c>
      <c r="B181" s="79">
        <v>272365</v>
      </c>
      <c r="C181" s="53" t="s">
        <v>278</v>
      </c>
      <c r="D181" s="34" t="s">
        <v>143</v>
      </c>
      <c r="E181" s="355" t="s">
        <v>44</v>
      </c>
      <c r="F181" s="382">
        <f>150/1000*F178</f>
        <v>2.3519999999999994</v>
      </c>
      <c r="G181" s="108">
        <v>0</v>
      </c>
      <c r="H181" s="109">
        <f>ROUND((G181*F181),2)</f>
        <v>0</v>
      </c>
    </row>
    <row r="182" spans="1:8" ht="15" customHeight="1">
      <c r="A182" s="41"/>
      <c r="B182" s="132">
        <v>272365</v>
      </c>
      <c r="C182" s="41"/>
      <c r="D182" s="40" t="s">
        <v>227</v>
      </c>
      <c r="E182" s="123"/>
      <c r="F182" s="41"/>
      <c r="G182" s="383"/>
      <c r="H182" s="118"/>
    </row>
    <row r="183" spans="1:8" ht="15" customHeight="1">
      <c r="A183" s="41"/>
      <c r="B183" s="119"/>
      <c r="C183" s="41"/>
      <c r="D183" s="40"/>
      <c r="E183" s="359"/>
      <c r="F183" s="359"/>
      <c r="G183" s="359"/>
      <c r="H183" s="359"/>
    </row>
    <row r="184" spans="1:8" ht="15" customHeight="1">
      <c r="A184" s="53">
        <v>54</v>
      </c>
      <c r="B184" s="79">
        <v>333325</v>
      </c>
      <c r="C184" s="53" t="s">
        <v>278</v>
      </c>
      <c r="D184" s="34" t="s">
        <v>50</v>
      </c>
      <c r="E184" s="355" t="s">
        <v>43</v>
      </c>
      <c r="F184" s="382">
        <f>37.6+5</f>
        <v>42.6</v>
      </c>
      <c r="G184" s="108">
        <v>0</v>
      </c>
      <c r="H184" s="109">
        <f>ROUND((G184*F184),2)</f>
        <v>0</v>
      </c>
    </row>
    <row r="185" spans="1:8" ht="15" customHeight="1">
      <c r="A185" s="41"/>
      <c r="B185" s="132">
        <v>333325</v>
      </c>
      <c r="C185" s="41"/>
      <c r="D185" s="40" t="s">
        <v>225</v>
      </c>
      <c r="E185" s="41"/>
      <c r="F185" s="103"/>
      <c r="G185" s="353"/>
      <c r="H185" s="104"/>
    </row>
    <row r="186" spans="1:8" ht="15" customHeight="1">
      <c r="A186" s="41"/>
      <c r="B186" s="92"/>
      <c r="C186" s="41"/>
      <c r="D186" s="40" t="s">
        <v>228</v>
      </c>
      <c r="E186" s="41"/>
      <c r="F186" s="103"/>
      <c r="G186" s="353"/>
      <c r="H186" s="104"/>
    </row>
    <row r="187" spans="1:8" ht="15" customHeight="1">
      <c r="A187" s="41"/>
      <c r="B187" s="119"/>
      <c r="C187" s="41"/>
      <c r="D187" s="40"/>
      <c r="E187" s="41"/>
      <c r="F187" s="103"/>
      <c r="G187" s="353"/>
      <c r="H187" s="104"/>
    </row>
    <row r="188" spans="1:8" ht="15" customHeight="1">
      <c r="A188" s="53">
        <v>55</v>
      </c>
      <c r="B188" s="79">
        <v>333365</v>
      </c>
      <c r="C188" s="53" t="s">
        <v>278</v>
      </c>
      <c r="D188" s="34" t="s">
        <v>226</v>
      </c>
      <c r="E188" s="355" t="s">
        <v>44</v>
      </c>
      <c r="F188" s="382">
        <f>150/1000*37.6+200/1000*5</f>
        <v>6.64</v>
      </c>
      <c r="G188" s="108">
        <v>0</v>
      </c>
      <c r="H188" s="109">
        <f>ROUND((G188*F188),2)</f>
        <v>0</v>
      </c>
    </row>
    <row r="189" spans="1:8" ht="39.75" customHeight="1">
      <c r="A189" s="41"/>
      <c r="B189" s="132">
        <v>333365</v>
      </c>
      <c r="C189" s="41"/>
      <c r="D189" s="40" t="s">
        <v>415</v>
      </c>
      <c r="E189" s="41"/>
      <c r="F189" s="103"/>
      <c r="G189" s="353"/>
      <c r="H189" s="104"/>
    </row>
    <row r="190" spans="1:10" ht="15" customHeight="1">
      <c r="A190" s="41"/>
      <c r="B190" s="119"/>
      <c r="C190" s="41"/>
      <c r="D190" s="40"/>
      <c r="E190" s="41"/>
      <c r="F190" s="103"/>
      <c r="G190" s="353"/>
      <c r="H190" s="104"/>
      <c r="I190" s="103"/>
      <c r="J190" s="24"/>
    </row>
    <row r="191" spans="1:10" ht="15" customHeight="1">
      <c r="A191" s="53">
        <v>56</v>
      </c>
      <c r="B191" s="79">
        <v>45860</v>
      </c>
      <c r="C191" s="53" t="s">
        <v>278</v>
      </c>
      <c r="D191" s="34" t="s">
        <v>236</v>
      </c>
      <c r="E191" s="53" t="s">
        <v>43</v>
      </c>
      <c r="F191" s="100">
        <v>33.3</v>
      </c>
      <c r="G191" s="108">
        <v>0</v>
      </c>
      <c r="H191" s="109">
        <f>ROUND((G191*F191),2)</f>
        <v>0</v>
      </c>
      <c r="I191" s="103"/>
      <c r="J191" s="24"/>
    </row>
    <row r="192" spans="1:10" ht="15" customHeight="1">
      <c r="A192" s="41"/>
      <c r="B192" s="132">
        <v>45860</v>
      </c>
      <c r="C192" s="41"/>
      <c r="D192" s="40" t="s">
        <v>365</v>
      </c>
      <c r="E192" s="41"/>
      <c r="F192" s="103"/>
      <c r="G192" s="353"/>
      <c r="H192" s="104"/>
      <c r="I192" s="103"/>
      <c r="J192" s="24"/>
    </row>
    <row r="193" spans="1:10" ht="15" customHeight="1">
      <c r="A193" s="41"/>
      <c r="B193" s="119"/>
      <c r="C193" s="41"/>
      <c r="D193" s="40"/>
      <c r="E193" s="41"/>
      <c r="F193" s="103"/>
      <c r="G193" s="353"/>
      <c r="H193" s="104"/>
      <c r="I193" s="103"/>
      <c r="J193" s="24"/>
    </row>
    <row r="194" spans="1:15" s="375" customFormat="1" ht="15" customHeight="1">
      <c r="A194" s="53">
        <v>57</v>
      </c>
      <c r="B194" s="79">
        <v>17411</v>
      </c>
      <c r="C194" s="53" t="s">
        <v>278</v>
      </c>
      <c r="D194" s="34" t="s">
        <v>237</v>
      </c>
      <c r="E194" s="53" t="s">
        <v>43</v>
      </c>
      <c r="F194" s="100">
        <f>15.8+183.6</f>
        <v>199.4</v>
      </c>
      <c r="G194" s="110">
        <v>0</v>
      </c>
      <c r="H194" s="109">
        <f>ROUND((G194*F194),2)</f>
        <v>0</v>
      </c>
      <c r="I194" s="103"/>
      <c r="J194" s="24"/>
      <c r="N194" s="384"/>
      <c r="O194" s="384"/>
    </row>
    <row r="195" spans="1:15" s="375" customFormat="1" ht="27" customHeight="1">
      <c r="A195" s="41"/>
      <c r="B195" s="132">
        <v>17411</v>
      </c>
      <c r="C195" s="41"/>
      <c r="D195" s="40" t="s">
        <v>366</v>
      </c>
      <c r="E195" s="41"/>
      <c r="F195" s="103"/>
      <c r="G195" s="377"/>
      <c r="H195" s="111"/>
      <c r="I195" s="103"/>
      <c r="J195" s="24"/>
      <c r="N195" s="359"/>
      <c r="O195" s="359"/>
    </row>
    <row r="196" spans="1:15" s="375" customFormat="1" ht="28.5" customHeight="1">
      <c r="A196" s="41"/>
      <c r="B196" s="128">
        <v>17411</v>
      </c>
      <c r="C196" s="41"/>
      <c r="D196" s="40" t="s">
        <v>367</v>
      </c>
      <c r="E196" s="41"/>
      <c r="F196" s="103"/>
      <c r="G196" s="377"/>
      <c r="H196" s="111"/>
      <c r="I196" s="103"/>
      <c r="J196" s="24"/>
      <c r="N196" s="359"/>
      <c r="O196" s="359"/>
    </row>
    <row r="197" spans="1:10" ht="15" customHeight="1">
      <c r="A197" s="41"/>
      <c r="B197" s="119"/>
      <c r="C197" s="41"/>
      <c r="D197" s="40"/>
      <c r="E197" s="123"/>
      <c r="F197" s="41"/>
      <c r="G197" s="383"/>
      <c r="H197" s="118"/>
      <c r="I197" s="103"/>
      <c r="J197" s="24"/>
    </row>
    <row r="198" spans="1:10" ht="15" customHeight="1">
      <c r="A198" s="53">
        <v>58</v>
      </c>
      <c r="B198" s="79" t="s">
        <v>250</v>
      </c>
      <c r="C198" s="53" t="s">
        <v>249</v>
      </c>
      <c r="D198" s="34" t="s">
        <v>208</v>
      </c>
      <c r="E198" s="385" t="s">
        <v>171</v>
      </c>
      <c r="F198" s="385">
        <f>4*84</f>
        <v>336</v>
      </c>
      <c r="G198" s="108">
        <v>0</v>
      </c>
      <c r="H198" s="109">
        <f>ROUND((G198*F198),2)</f>
        <v>0</v>
      </c>
      <c r="I198" s="103"/>
      <c r="J198" s="24"/>
    </row>
    <row r="199" spans="1:10" ht="15" customHeight="1">
      <c r="A199" s="77"/>
      <c r="B199" s="132" t="s">
        <v>250</v>
      </c>
      <c r="C199" s="386"/>
      <c r="D199" s="387" t="s">
        <v>210</v>
      </c>
      <c r="E199" s="388"/>
      <c r="F199" s="388"/>
      <c r="G199" s="362"/>
      <c r="H199" s="111"/>
      <c r="I199" s="103"/>
      <c r="J199" s="24"/>
    </row>
    <row r="200" spans="1:10" ht="30" customHeight="1">
      <c r="A200" s="41"/>
      <c r="B200" s="128" t="s">
        <v>250</v>
      </c>
      <c r="C200" s="386"/>
      <c r="D200" s="387" t="s">
        <v>209</v>
      </c>
      <c r="E200" s="388"/>
      <c r="F200" s="388"/>
      <c r="G200" s="362"/>
      <c r="H200" s="111"/>
      <c r="I200" s="103"/>
      <c r="J200" s="24"/>
    </row>
    <row r="201" spans="1:10" ht="15" customHeight="1">
      <c r="A201" s="42"/>
      <c r="B201" s="119"/>
      <c r="C201" s="386"/>
      <c r="D201" s="387"/>
      <c r="E201" s="388"/>
      <c r="F201" s="388"/>
      <c r="G201" s="362"/>
      <c r="H201" s="111"/>
      <c r="I201" s="103"/>
      <c r="J201" s="24"/>
    </row>
    <row r="202" spans="1:10" ht="15" customHeight="1">
      <c r="A202" s="53">
        <v>59</v>
      </c>
      <c r="B202" s="79" t="s">
        <v>251</v>
      </c>
      <c r="C202" s="53" t="s">
        <v>249</v>
      </c>
      <c r="D202" s="34" t="s">
        <v>636</v>
      </c>
      <c r="E202" s="385" t="s">
        <v>171</v>
      </c>
      <c r="F202" s="385">
        <v>2500</v>
      </c>
      <c r="G202" s="108">
        <v>0</v>
      </c>
      <c r="H202" s="109">
        <f>ROUND((G202*F202),2)</f>
        <v>0</v>
      </c>
      <c r="I202" s="103"/>
      <c r="J202" s="24"/>
    </row>
    <row r="203" spans="1:10" ht="45" customHeight="1">
      <c r="A203" s="56"/>
      <c r="B203" s="389" t="s">
        <v>251</v>
      </c>
      <c r="C203" s="386"/>
      <c r="D203" s="387" t="s">
        <v>637</v>
      </c>
      <c r="E203" s="388"/>
      <c r="F203" s="388"/>
      <c r="G203" s="362"/>
      <c r="H203" s="111"/>
      <c r="I203" s="103"/>
      <c r="J203" s="24"/>
    </row>
    <row r="204" spans="1:10" ht="15" customHeight="1">
      <c r="A204" s="41"/>
      <c r="B204" s="92"/>
      <c r="C204" s="41"/>
      <c r="D204" s="40"/>
      <c r="E204" s="123"/>
      <c r="F204" s="41"/>
      <c r="G204" s="383"/>
      <c r="H204" s="118"/>
      <c r="I204" s="103"/>
      <c r="J204" s="24"/>
    </row>
    <row r="205" spans="1:10" ht="15" customHeight="1">
      <c r="A205" s="53">
        <v>60</v>
      </c>
      <c r="B205" s="79">
        <v>87734</v>
      </c>
      <c r="C205" s="53" t="s">
        <v>278</v>
      </c>
      <c r="D205" s="34" t="s">
        <v>200</v>
      </c>
      <c r="E205" s="125" t="s">
        <v>47</v>
      </c>
      <c r="F205" s="53">
        <f>2*4.5</f>
        <v>9</v>
      </c>
      <c r="G205" s="108">
        <v>0</v>
      </c>
      <c r="H205" s="109">
        <f>ROUND((G205*F205),2)</f>
        <v>0</v>
      </c>
      <c r="I205" s="103"/>
      <c r="J205" s="24"/>
    </row>
    <row r="206" spans="1:10" ht="15" customHeight="1">
      <c r="A206" s="41"/>
      <c r="B206" s="128">
        <v>87734</v>
      </c>
      <c r="C206" s="41"/>
      <c r="D206" s="40" t="s">
        <v>234</v>
      </c>
      <c r="E206" s="123"/>
      <c r="F206" s="41"/>
      <c r="G206" s="383"/>
      <c r="H206" s="118"/>
      <c r="I206" s="103"/>
      <c r="J206" s="24"/>
    </row>
    <row r="207" spans="1:10" ht="15" customHeight="1">
      <c r="A207" s="41"/>
      <c r="B207" s="128">
        <v>87734</v>
      </c>
      <c r="C207" s="41"/>
      <c r="D207" s="40" t="s">
        <v>201</v>
      </c>
      <c r="E207" s="123"/>
      <c r="F207" s="41"/>
      <c r="G207" s="383"/>
      <c r="H207" s="118"/>
      <c r="I207" s="103"/>
      <c r="J207" s="24"/>
    </row>
    <row r="208" spans="1:10" ht="15" customHeight="1">
      <c r="A208" s="41"/>
      <c r="B208" s="92"/>
      <c r="C208" s="41"/>
      <c r="D208" s="40"/>
      <c r="E208" s="123"/>
      <c r="F208" s="41"/>
      <c r="G208" s="383"/>
      <c r="H208" s="118"/>
      <c r="I208" s="103"/>
      <c r="J208" s="24"/>
    </row>
    <row r="209" spans="1:15" s="375" customFormat="1" ht="15" customHeight="1">
      <c r="A209" s="53">
        <v>61</v>
      </c>
      <c r="B209" s="79">
        <v>26115</v>
      </c>
      <c r="C209" s="53" t="s">
        <v>278</v>
      </c>
      <c r="D209" s="34" t="s">
        <v>151</v>
      </c>
      <c r="E209" s="53" t="s">
        <v>103</v>
      </c>
      <c r="F209" s="100">
        <f>4*8</f>
        <v>32</v>
      </c>
      <c r="G209" s="101">
        <v>0</v>
      </c>
      <c r="H209" s="102">
        <f>G209*F209</f>
        <v>0</v>
      </c>
      <c r="I209" s="103"/>
      <c r="J209" s="24"/>
      <c r="N209" s="359"/>
      <c r="O209" s="359"/>
    </row>
    <row r="210" spans="1:10" ht="15" customHeight="1">
      <c r="A210" s="41"/>
      <c r="B210" s="128">
        <v>26115</v>
      </c>
      <c r="C210" s="126"/>
      <c r="D210" s="27" t="s">
        <v>155</v>
      </c>
      <c r="E210" s="123"/>
      <c r="F210" s="41"/>
      <c r="G210" s="383"/>
      <c r="H210" s="118"/>
      <c r="I210" s="103"/>
      <c r="J210" s="24"/>
    </row>
    <row r="211" spans="1:10" ht="15" customHeight="1">
      <c r="A211" s="41"/>
      <c r="B211" s="92"/>
      <c r="C211" s="127"/>
      <c r="D211" s="27"/>
      <c r="E211" s="123"/>
      <c r="F211" s="41"/>
      <c r="G211" s="383"/>
      <c r="H211" s="118"/>
      <c r="I211" s="103"/>
      <c r="J211" s="24"/>
    </row>
    <row r="212" spans="1:15" s="375" customFormat="1" ht="15" customHeight="1">
      <c r="A212" s="53">
        <v>62</v>
      </c>
      <c r="B212" s="79">
        <v>26125</v>
      </c>
      <c r="C212" s="53" t="s">
        <v>278</v>
      </c>
      <c r="D212" s="34" t="s">
        <v>128</v>
      </c>
      <c r="E212" s="53" t="s">
        <v>103</v>
      </c>
      <c r="F212" s="100">
        <f>4*2</f>
        <v>8</v>
      </c>
      <c r="G212" s="101">
        <v>0</v>
      </c>
      <c r="H212" s="102">
        <f>G212*F212</f>
        <v>0</v>
      </c>
      <c r="I212" s="103"/>
      <c r="J212" s="24"/>
      <c r="N212" s="359"/>
      <c r="O212" s="359"/>
    </row>
    <row r="213" spans="1:10" ht="15" customHeight="1">
      <c r="A213" s="41"/>
      <c r="B213" s="128">
        <v>26125</v>
      </c>
      <c r="C213" s="126"/>
      <c r="D213" s="27" t="s">
        <v>154</v>
      </c>
      <c r="E213" s="123"/>
      <c r="F213" s="41"/>
      <c r="G213" s="383"/>
      <c r="H213" s="118"/>
      <c r="I213" s="103"/>
      <c r="J213" s="24"/>
    </row>
    <row r="214" spans="1:10" ht="15" customHeight="1">
      <c r="A214" s="41"/>
      <c r="B214" s="92"/>
      <c r="C214" s="127"/>
      <c r="D214" s="27"/>
      <c r="E214" s="123"/>
      <c r="F214" s="41"/>
      <c r="G214" s="383"/>
      <c r="H214" s="118"/>
      <c r="I214" s="103"/>
      <c r="J214" s="24"/>
    </row>
    <row r="215" spans="1:15" s="375" customFormat="1" ht="15" customHeight="1">
      <c r="A215" s="53">
        <v>63</v>
      </c>
      <c r="B215" s="79">
        <v>26135</v>
      </c>
      <c r="C215" s="53" t="s">
        <v>278</v>
      </c>
      <c r="D215" s="34" t="s">
        <v>152</v>
      </c>
      <c r="E215" s="53" t="s">
        <v>103</v>
      </c>
      <c r="F215" s="100">
        <f>4*10</f>
        <v>40</v>
      </c>
      <c r="G215" s="101">
        <v>0</v>
      </c>
      <c r="H215" s="102">
        <f>G215*F215</f>
        <v>0</v>
      </c>
      <c r="I215" s="103"/>
      <c r="J215" s="24"/>
      <c r="N215" s="359"/>
      <c r="O215" s="359"/>
    </row>
    <row r="216" spans="1:10" ht="15" customHeight="1">
      <c r="A216" s="41"/>
      <c r="B216" s="128">
        <v>26135</v>
      </c>
      <c r="C216" s="41"/>
      <c r="D216" s="27" t="s">
        <v>153</v>
      </c>
      <c r="E216" s="123"/>
      <c r="F216" s="41"/>
      <c r="G216" s="383"/>
      <c r="H216" s="118"/>
      <c r="I216" s="103"/>
      <c r="J216" s="24"/>
    </row>
    <row r="217" spans="1:10" ht="15" customHeight="1">
      <c r="A217" s="41"/>
      <c r="B217" s="92"/>
      <c r="C217" s="41"/>
      <c r="D217" s="27"/>
      <c r="E217" s="123"/>
      <c r="F217" s="41"/>
      <c r="G217" s="383"/>
      <c r="H217" s="118"/>
      <c r="I217" s="103"/>
      <c r="J217" s="24"/>
    </row>
    <row r="218" spans="1:10" ht="15" customHeight="1">
      <c r="A218" s="53">
        <v>64</v>
      </c>
      <c r="B218" s="79">
        <v>285378</v>
      </c>
      <c r="C218" s="53" t="s">
        <v>278</v>
      </c>
      <c r="D218" s="34" t="s">
        <v>145</v>
      </c>
      <c r="E218" s="355" t="s">
        <v>64</v>
      </c>
      <c r="F218" s="382">
        <v>4</v>
      </c>
      <c r="G218" s="108">
        <v>0</v>
      </c>
      <c r="H218" s="109">
        <f>ROUND((G218*F218),2)</f>
        <v>0</v>
      </c>
      <c r="I218" s="103"/>
      <c r="J218" s="24"/>
    </row>
    <row r="219" spans="1:10" ht="15" customHeight="1">
      <c r="A219" s="41"/>
      <c r="B219" s="128">
        <v>285378</v>
      </c>
      <c r="C219" s="41"/>
      <c r="D219" s="27" t="s">
        <v>212</v>
      </c>
      <c r="E219" s="123"/>
      <c r="F219" s="41"/>
      <c r="G219" s="383"/>
      <c r="H219" s="118"/>
      <c r="I219" s="103"/>
      <c r="J219" s="24"/>
    </row>
    <row r="220" spans="1:10" ht="15" customHeight="1">
      <c r="A220" s="41"/>
      <c r="B220" s="92"/>
      <c r="C220" s="41"/>
      <c r="D220" s="27"/>
      <c r="E220" s="123"/>
      <c r="F220" s="41"/>
      <c r="G220" s="383"/>
      <c r="H220" s="118"/>
      <c r="I220" s="103"/>
      <c r="J220" s="24"/>
    </row>
    <row r="221" spans="1:10" ht="15" customHeight="1">
      <c r="A221" s="53">
        <v>65</v>
      </c>
      <c r="B221" s="79">
        <v>285379</v>
      </c>
      <c r="C221" s="53" t="s">
        <v>278</v>
      </c>
      <c r="D221" s="34" t="s">
        <v>146</v>
      </c>
      <c r="E221" s="355" t="s">
        <v>47</v>
      </c>
      <c r="F221" s="382">
        <f>4*12</f>
        <v>48</v>
      </c>
      <c r="G221" s="108">
        <v>0</v>
      </c>
      <c r="H221" s="109">
        <f>ROUND((G221*F221),2)</f>
        <v>0</v>
      </c>
      <c r="I221" s="103"/>
      <c r="J221" s="24"/>
    </row>
    <row r="222" spans="1:10" ht="15" customHeight="1">
      <c r="A222" s="41"/>
      <c r="B222" s="128">
        <v>285379</v>
      </c>
      <c r="C222" s="41"/>
      <c r="D222" s="27" t="s">
        <v>211</v>
      </c>
      <c r="E222" s="123"/>
      <c r="F222" s="41"/>
      <c r="G222" s="383"/>
      <c r="H222" s="118"/>
      <c r="I222" s="103"/>
      <c r="J222" s="24"/>
    </row>
    <row r="223" spans="1:10" ht="15" customHeight="1">
      <c r="A223" s="41"/>
      <c r="B223" s="92"/>
      <c r="C223" s="41"/>
      <c r="D223" s="27"/>
      <c r="E223" s="123"/>
      <c r="F223" s="41"/>
      <c r="G223" s="383"/>
      <c r="H223" s="118"/>
      <c r="I223" s="103"/>
      <c r="J223" s="24"/>
    </row>
    <row r="224" spans="1:10" ht="15" customHeight="1">
      <c r="A224" s="53">
        <v>66</v>
      </c>
      <c r="B224" s="79" t="s">
        <v>147</v>
      </c>
      <c r="C224" s="53" t="s">
        <v>249</v>
      </c>
      <c r="D224" s="34" t="s">
        <v>272</v>
      </c>
      <c r="E224" s="355" t="s">
        <v>148</v>
      </c>
      <c r="F224" s="382">
        <v>2</v>
      </c>
      <c r="G224" s="108">
        <v>0</v>
      </c>
      <c r="H224" s="109">
        <f>ROUND((G224*F224),2)</f>
        <v>0</v>
      </c>
      <c r="I224" s="103"/>
      <c r="J224" s="24"/>
    </row>
    <row r="225" spans="1:10" ht="30" customHeight="1">
      <c r="A225" s="41"/>
      <c r="B225" s="128" t="s">
        <v>147</v>
      </c>
      <c r="C225" s="41"/>
      <c r="D225" s="27" t="s">
        <v>638</v>
      </c>
      <c r="E225" s="123"/>
      <c r="F225" s="41"/>
      <c r="G225" s="383"/>
      <c r="H225" s="118"/>
      <c r="I225" s="103"/>
      <c r="J225" s="24"/>
    </row>
    <row r="226" spans="1:10" ht="15" customHeight="1">
      <c r="A226" s="41"/>
      <c r="B226" s="92"/>
      <c r="C226" s="41"/>
      <c r="D226" s="27"/>
      <c r="E226" s="123"/>
      <c r="F226" s="41"/>
      <c r="G226" s="383"/>
      <c r="H226" s="118"/>
      <c r="I226" s="103"/>
      <c r="J226" s="24"/>
    </row>
    <row r="227" spans="1:10" ht="15" customHeight="1">
      <c r="A227" s="53">
        <v>67</v>
      </c>
      <c r="B227" s="79">
        <v>894145</v>
      </c>
      <c r="C227" s="53" t="s">
        <v>278</v>
      </c>
      <c r="D227" s="34" t="s">
        <v>149</v>
      </c>
      <c r="E227" s="355" t="s">
        <v>148</v>
      </c>
      <c r="F227" s="382">
        <v>1</v>
      </c>
      <c r="G227" s="108">
        <v>0</v>
      </c>
      <c r="H227" s="109">
        <f>ROUND((G227*F227),2)</f>
        <v>0</v>
      </c>
      <c r="I227" s="103"/>
      <c r="J227" s="24"/>
    </row>
    <row r="228" spans="1:10" ht="15" customHeight="1">
      <c r="A228" s="41"/>
      <c r="B228" s="128">
        <v>894145</v>
      </c>
      <c r="C228" s="41"/>
      <c r="D228" s="27" t="s">
        <v>213</v>
      </c>
      <c r="E228" s="123"/>
      <c r="F228" s="41"/>
      <c r="G228" s="383"/>
      <c r="H228" s="118"/>
      <c r="I228" s="103"/>
      <c r="J228" s="24"/>
    </row>
    <row r="229" spans="1:10" ht="15" customHeight="1">
      <c r="A229" s="41"/>
      <c r="B229" s="92"/>
      <c r="C229" s="41"/>
      <c r="D229" s="27"/>
      <c r="E229" s="123"/>
      <c r="F229" s="41"/>
      <c r="G229" s="383"/>
      <c r="H229" s="118"/>
      <c r="I229" s="103"/>
      <c r="J229" s="24"/>
    </row>
    <row r="230" spans="1:10" ht="15" customHeight="1">
      <c r="A230" s="53">
        <v>68</v>
      </c>
      <c r="B230" s="79" t="s">
        <v>150</v>
      </c>
      <c r="C230" s="53" t="s">
        <v>249</v>
      </c>
      <c r="D230" s="34" t="s">
        <v>149</v>
      </c>
      <c r="E230" s="355" t="s">
        <v>148</v>
      </c>
      <c r="F230" s="382">
        <v>1</v>
      </c>
      <c r="G230" s="108">
        <v>0</v>
      </c>
      <c r="H230" s="109">
        <f>ROUND((G230*F230),2)</f>
        <v>0</v>
      </c>
      <c r="I230" s="103"/>
      <c r="J230" s="24"/>
    </row>
    <row r="231" spans="1:10" ht="30" customHeight="1">
      <c r="A231" s="41"/>
      <c r="B231" s="128" t="s">
        <v>150</v>
      </c>
      <c r="C231" s="41"/>
      <c r="D231" s="27" t="s">
        <v>639</v>
      </c>
      <c r="E231" s="123"/>
      <c r="F231" s="41"/>
      <c r="G231" s="383"/>
      <c r="H231" s="118"/>
      <c r="I231" s="103"/>
      <c r="J231" s="24"/>
    </row>
    <row r="232" spans="1:10" ht="15" customHeight="1">
      <c r="A232" s="41"/>
      <c r="B232" s="92"/>
      <c r="C232" s="41"/>
      <c r="D232" s="27"/>
      <c r="E232" s="123"/>
      <c r="F232" s="41"/>
      <c r="G232" s="383"/>
      <c r="H232" s="118"/>
      <c r="I232" s="103"/>
      <c r="J232" s="24"/>
    </row>
    <row r="233" spans="1:8" ht="15" customHeight="1">
      <c r="A233" s="53">
        <v>69</v>
      </c>
      <c r="B233" s="79" t="s">
        <v>317</v>
      </c>
      <c r="C233" s="53" t="s">
        <v>249</v>
      </c>
      <c r="D233" s="34" t="s">
        <v>316</v>
      </c>
      <c r="E233" s="355" t="s">
        <v>148</v>
      </c>
      <c r="F233" s="382">
        <v>1</v>
      </c>
      <c r="G233" s="108">
        <v>0</v>
      </c>
      <c r="H233" s="109">
        <f>ROUND((G233*F233),2)</f>
        <v>0</v>
      </c>
    </row>
    <row r="234" spans="1:8" ht="15" customHeight="1">
      <c r="A234" s="41"/>
      <c r="B234" s="92"/>
      <c r="C234" s="41"/>
      <c r="D234" s="40"/>
      <c r="E234" s="41"/>
      <c r="F234" s="103"/>
      <c r="G234" s="353"/>
      <c r="H234" s="104"/>
    </row>
    <row r="235" spans="1:8" ht="15" customHeight="1">
      <c r="A235" s="53">
        <v>70</v>
      </c>
      <c r="B235" s="79" t="s">
        <v>327</v>
      </c>
      <c r="C235" s="53" t="s">
        <v>278</v>
      </c>
      <c r="D235" s="34" t="s">
        <v>329</v>
      </c>
      <c r="E235" s="355" t="s">
        <v>47</v>
      </c>
      <c r="F235" s="382">
        <v>6</v>
      </c>
      <c r="G235" s="108">
        <v>0</v>
      </c>
      <c r="H235" s="109">
        <f>ROUND((G235*F235),2)</f>
        <v>0</v>
      </c>
    </row>
    <row r="236" spans="1:8" ht="15" customHeight="1">
      <c r="A236" s="41"/>
      <c r="B236" s="128" t="s">
        <v>327</v>
      </c>
      <c r="C236" s="41"/>
      <c r="D236" s="40" t="s">
        <v>328</v>
      </c>
      <c r="E236" s="358"/>
      <c r="F236" s="390"/>
      <c r="G236" s="362"/>
      <c r="H236" s="111"/>
    </row>
    <row r="237" spans="1:8" ht="15" customHeight="1">
      <c r="A237" s="41"/>
      <c r="B237" s="92"/>
      <c r="C237" s="41"/>
      <c r="D237" s="40"/>
      <c r="E237" s="358"/>
      <c r="F237" s="390"/>
      <c r="G237" s="362"/>
      <c r="H237" s="111"/>
    </row>
    <row r="238" spans="1:8" ht="15" customHeight="1">
      <c r="A238" s="53">
        <v>71</v>
      </c>
      <c r="B238" s="79" t="s">
        <v>304</v>
      </c>
      <c r="C238" s="53" t="s">
        <v>249</v>
      </c>
      <c r="D238" s="34" t="s">
        <v>303</v>
      </c>
      <c r="E238" s="53" t="s">
        <v>43</v>
      </c>
      <c r="F238" s="100">
        <f>2*2.6*2.6*0.48</f>
        <v>6.4896</v>
      </c>
      <c r="G238" s="101">
        <v>0</v>
      </c>
      <c r="H238" s="109">
        <f>ROUND((G238*F238),2)</f>
        <v>0</v>
      </c>
    </row>
    <row r="239" spans="1:8" ht="60" customHeight="1">
      <c r="A239" s="41"/>
      <c r="B239" s="128" t="s">
        <v>304</v>
      </c>
      <c r="C239" s="41"/>
      <c r="D239" s="40" t="s">
        <v>641</v>
      </c>
      <c r="E239" s="41"/>
      <c r="F239" s="103"/>
      <c r="G239" s="353"/>
      <c r="H239" s="104"/>
    </row>
    <row r="240" spans="1:8" ht="15" customHeight="1">
      <c r="A240" s="41"/>
      <c r="B240" s="92"/>
      <c r="C240" s="41"/>
      <c r="D240" s="40"/>
      <c r="E240" s="41"/>
      <c r="F240" s="103"/>
      <c r="G240" s="353"/>
      <c r="H240" s="104"/>
    </row>
    <row r="241" spans="1:8" ht="15" customHeight="1">
      <c r="A241" s="53">
        <v>72</v>
      </c>
      <c r="B241" s="79" t="s">
        <v>275</v>
      </c>
      <c r="C241" s="53" t="s">
        <v>277</v>
      </c>
      <c r="D241" s="34" t="s">
        <v>274</v>
      </c>
      <c r="E241" s="355" t="s">
        <v>64</v>
      </c>
      <c r="F241" s="382">
        <v>19</v>
      </c>
      <c r="G241" s="108">
        <v>0</v>
      </c>
      <c r="H241" s="109">
        <f>ROUND((G241*F241),2)</f>
        <v>0</v>
      </c>
    </row>
    <row r="242" spans="1:8" ht="45" customHeight="1">
      <c r="A242" s="41"/>
      <c r="B242" s="128" t="s">
        <v>275</v>
      </c>
      <c r="C242" s="41"/>
      <c r="D242" s="40" t="s">
        <v>640</v>
      </c>
      <c r="E242" s="358"/>
      <c r="F242" s="390"/>
      <c r="G242" s="362"/>
      <c r="H242" s="115"/>
    </row>
    <row r="243" spans="1:8" ht="105" customHeight="1">
      <c r="A243" s="41"/>
      <c r="B243" s="128" t="s">
        <v>275</v>
      </c>
      <c r="C243" s="41"/>
      <c r="D243" s="40" t="s">
        <v>276</v>
      </c>
      <c r="E243" s="41"/>
      <c r="F243" s="103"/>
      <c r="G243" s="353"/>
      <c r="H243" s="104"/>
    </row>
    <row r="244" spans="1:8" ht="15" customHeight="1">
      <c r="A244" s="41"/>
      <c r="B244" s="92"/>
      <c r="C244" s="41"/>
      <c r="D244" s="40"/>
      <c r="E244" s="41"/>
      <c r="F244" s="103"/>
      <c r="G244" s="353"/>
      <c r="H244" s="104"/>
    </row>
    <row r="245" spans="1:8" ht="15" customHeight="1">
      <c r="A245" s="53">
        <v>73</v>
      </c>
      <c r="B245" s="79" t="s">
        <v>321</v>
      </c>
      <c r="C245" s="53" t="s">
        <v>249</v>
      </c>
      <c r="D245" s="34" t="s">
        <v>220</v>
      </c>
      <c r="E245" s="355" t="s">
        <v>214</v>
      </c>
      <c r="F245" s="391">
        <f>41200+77600+510</f>
        <v>119310</v>
      </c>
      <c r="G245" s="108">
        <v>0</v>
      </c>
      <c r="H245" s="109">
        <f>ROUND((G245*F245),2)</f>
        <v>0</v>
      </c>
    </row>
    <row r="246" spans="1:8" ht="46.5" customHeight="1">
      <c r="A246" s="41"/>
      <c r="B246" s="128" t="s">
        <v>321</v>
      </c>
      <c r="C246" s="41"/>
      <c r="D246" s="40" t="s">
        <v>674</v>
      </c>
      <c r="E246" s="358"/>
      <c r="F246" s="390"/>
      <c r="G246" s="362"/>
      <c r="H246" s="111"/>
    </row>
    <row r="247" spans="1:8" ht="409.5" customHeight="1">
      <c r="A247" s="41"/>
      <c r="B247" s="128" t="s">
        <v>321</v>
      </c>
      <c r="C247" s="41"/>
      <c r="D247" s="122" t="s">
        <v>668</v>
      </c>
      <c r="E247" s="358"/>
      <c r="F247" s="390"/>
      <c r="G247" s="362"/>
      <c r="H247" s="111"/>
    </row>
    <row r="248" spans="1:8" ht="60" customHeight="1">
      <c r="A248" s="41"/>
      <c r="B248" s="128" t="s">
        <v>321</v>
      </c>
      <c r="C248" s="41"/>
      <c r="D248" s="122" t="s">
        <v>642</v>
      </c>
      <c r="E248" s="358"/>
      <c r="F248" s="390"/>
      <c r="G248" s="362"/>
      <c r="H248" s="111"/>
    </row>
    <row r="249" spans="1:8" ht="15" customHeight="1">
      <c r="A249" s="41"/>
      <c r="B249" s="92"/>
      <c r="C249" s="41"/>
      <c r="D249" s="122"/>
      <c r="E249" s="358"/>
      <c r="F249" s="390"/>
      <c r="G249" s="362"/>
      <c r="H249" s="111"/>
    </row>
    <row r="250" spans="1:8" ht="15" customHeight="1">
      <c r="A250" s="53">
        <v>74</v>
      </c>
      <c r="B250" s="79" t="s">
        <v>345</v>
      </c>
      <c r="C250" s="53" t="s">
        <v>249</v>
      </c>
      <c r="D250" s="34" t="s">
        <v>344</v>
      </c>
      <c r="E250" s="355" t="s">
        <v>214</v>
      </c>
      <c r="F250" s="391">
        <v>70</v>
      </c>
      <c r="G250" s="108">
        <v>0</v>
      </c>
      <c r="H250" s="109">
        <f>ROUND((G250*F250),2)</f>
        <v>0</v>
      </c>
    </row>
    <row r="251" spans="1:8" ht="30" customHeight="1">
      <c r="A251" s="41"/>
      <c r="B251" s="128" t="s">
        <v>345</v>
      </c>
      <c r="C251" s="41"/>
      <c r="D251" s="40" t="s">
        <v>643</v>
      </c>
      <c r="E251" s="358"/>
      <c r="F251" s="390"/>
      <c r="G251" s="362"/>
      <c r="H251" s="111"/>
    </row>
    <row r="252" spans="1:8" ht="15" customHeight="1">
      <c r="A252" s="41"/>
      <c r="B252" s="128" t="s">
        <v>345</v>
      </c>
      <c r="C252" s="41"/>
      <c r="D252" s="40" t="s">
        <v>644</v>
      </c>
      <c r="E252" s="358"/>
      <c r="F252" s="390"/>
      <c r="G252" s="362"/>
      <c r="H252" s="111"/>
    </row>
    <row r="253" spans="1:8" ht="15" customHeight="1">
      <c r="A253" s="41"/>
      <c r="B253" s="92"/>
      <c r="C253" s="41"/>
      <c r="D253" s="122"/>
      <c r="E253" s="358"/>
      <c r="F253" s="390"/>
      <c r="G253" s="362"/>
      <c r="H253" s="111"/>
    </row>
    <row r="254" spans="1:8" ht="15" customHeight="1">
      <c r="A254" s="53">
        <v>75</v>
      </c>
      <c r="B254" s="79" t="s">
        <v>279</v>
      </c>
      <c r="C254" s="53" t="s">
        <v>278</v>
      </c>
      <c r="D254" s="34" t="s">
        <v>289</v>
      </c>
      <c r="E254" s="53" t="s">
        <v>45</v>
      </c>
      <c r="F254" s="100">
        <f>63.7+43+23.5</f>
        <v>130.2</v>
      </c>
      <c r="G254" s="101">
        <v>0</v>
      </c>
      <c r="H254" s="109">
        <f>ROUND((G254*F254),2)</f>
        <v>0</v>
      </c>
    </row>
    <row r="255" spans="1:8" ht="15" customHeight="1">
      <c r="A255" s="41"/>
      <c r="B255" s="128" t="s">
        <v>279</v>
      </c>
      <c r="C255" s="41"/>
      <c r="D255" s="40" t="s">
        <v>387</v>
      </c>
      <c r="E255" s="41"/>
      <c r="F255" s="103"/>
      <c r="G255" s="353"/>
      <c r="H255" s="104"/>
    </row>
    <row r="256" spans="1:8" ht="30" customHeight="1">
      <c r="A256" s="41"/>
      <c r="B256" s="128" t="s">
        <v>279</v>
      </c>
      <c r="C256" s="41"/>
      <c r="D256" s="40" t="s">
        <v>645</v>
      </c>
      <c r="E256" s="41"/>
      <c r="F256" s="103"/>
      <c r="G256" s="353"/>
      <c r="H256" s="104"/>
    </row>
    <row r="257" spans="1:8" ht="15" customHeight="1">
      <c r="A257" s="41"/>
      <c r="B257" s="128" t="s">
        <v>279</v>
      </c>
      <c r="C257" s="41"/>
      <c r="D257" s="40" t="s">
        <v>646</v>
      </c>
      <c r="E257" s="41"/>
      <c r="F257" s="103"/>
      <c r="G257" s="353"/>
      <c r="H257" s="104"/>
    </row>
    <row r="258" spans="1:8" ht="15" customHeight="1">
      <c r="A258" s="41"/>
      <c r="B258" s="128" t="s">
        <v>279</v>
      </c>
      <c r="C258" s="41"/>
      <c r="D258" s="40" t="s">
        <v>647</v>
      </c>
      <c r="E258" s="41"/>
      <c r="F258" s="103"/>
      <c r="G258" s="353"/>
      <c r="H258" s="104"/>
    </row>
    <row r="259" spans="1:8" ht="15" customHeight="1">
      <c r="A259" s="41"/>
      <c r="B259" s="92"/>
      <c r="C259" s="41"/>
      <c r="D259" s="40"/>
      <c r="E259" s="41"/>
      <c r="F259" s="103"/>
      <c r="G259" s="353"/>
      <c r="H259" s="104"/>
    </row>
    <row r="260" spans="1:8" ht="15" customHeight="1">
      <c r="A260" s="53">
        <v>76</v>
      </c>
      <c r="B260" s="79" t="s">
        <v>280</v>
      </c>
      <c r="C260" s="53" t="s">
        <v>278</v>
      </c>
      <c r="D260" s="34" t="s">
        <v>290</v>
      </c>
      <c r="E260" s="53" t="s">
        <v>45</v>
      </c>
      <c r="F260" s="100">
        <f>43</f>
        <v>43</v>
      </c>
      <c r="G260" s="101">
        <v>0</v>
      </c>
      <c r="H260" s="109">
        <f>ROUND((G260*F260),2)</f>
        <v>0</v>
      </c>
    </row>
    <row r="261" spans="1:8" ht="15" customHeight="1">
      <c r="A261" s="41"/>
      <c r="B261" s="128" t="s">
        <v>280</v>
      </c>
      <c r="C261" s="41"/>
      <c r="D261" s="40" t="s">
        <v>281</v>
      </c>
      <c r="E261" s="41"/>
      <c r="F261" s="103"/>
      <c r="G261" s="353"/>
      <c r="H261" s="104"/>
    </row>
    <row r="262" spans="1:8" ht="30" customHeight="1">
      <c r="A262" s="41"/>
      <c r="B262" s="128" t="s">
        <v>280</v>
      </c>
      <c r="C262" s="41"/>
      <c r="D262" s="40" t="s">
        <v>648</v>
      </c>
      <c r="E262" s="41"/>
      <c r="F262" s="103"/>
      <c r="G262" s="353"/>
      <c r="H262" s="104"/>
    </row>
    <row r="263" spans="1:8" ht="15" customHeight="1">
      <c r="A263" s="41"/>
      <c r="B263" s="92"/>
      <c r="C263" s="41"/>
      <c r="D263" s="40"/>
      <c r="E263" s="41"/>
      <c r="F263" s="103"/>
      <c r="G263" s="353"/>
      <c r="H263" s="104"/>
    </row>
    <row r="264" spans="1:8" ht="15" customHeight="1">
      <c r="A264" s="53">
        <v>77</v>
      </c>
      <c r="B264" s="79" t="s">
        <v>322</v>
      </c>
      <c r="C264" s="53" t="s">
        <v>249</v>
      </c>
      <c r="D264" s="34" t="s">
        <v>323</v>
      </c>
      <c r="E264" s="53" t="s">
        <v>64</v>
      </c>
      <c r="F264" s="100">
        <v>40</v>
      </c>
      <c r="G264" s="101">
        <v>0</v>
      </c>
      <c r="H264" s="109">
        <f>ROUND((G264*F264),2)</f>
        <v>0</v>
      </c>
    </row>
    <row r="265" spans="1:8" ht="51.75" customHeight="1">
      <c r="A265" s="41"/>
      <c r="B265" s="128" t="s">
        <v>322</v>
      </c>
      <c r="C265" s="41"/>
      <c r="D265" s="40" t="s">
        <v>324</v>
      </c>
      <c r="E265" s="41"/>
      <c r="F265" s="103"/>
      <c r="G265" s="353"/>
      <c r="H265" s="104"/>
    </row>
    <row r="266" spans="1:8" ht="15" customHeight="1">
      <c r="A266" s="41"/>
      <c r="B266" s="128" t="s">
        <v>322</v>
      </c>
      <c r="C266" s="41"/>
      <c r="D266" s="40" t="s">
        <v>325</v>
      </c>
      <c r="E266" s="41"/>
      <c r="F266" s="103"/>
      <c r="G266" s="353"/>
      <c r="H266" s="104"/>
    </row>
    <row r="267" spans="1:8" ht="15" customHeight="1">
      <c r="A267" s="41"/>
      <c r="B267" s="92"/>
      <c r="C267" s="41"/>
      <c r="D267" s="40"/>
      <c r="E267" s="41"/>
      <c r="F267" s="103"/>
      <c r="G267" s="353"/>
      <c r="H267" s="104"/>
    </row>
    <row r="268" spans="1:8" ht="15" customHeight="1">
      <c r="A268" s="53">
        <v>78</v>
      </c>
      <c r="B268" s="79" t="s">
        <v>310</v>
      </c>
      <c r="C268" s="53" t="s">
        <v>278</v>
      </c>
      <c r="D268" s="34" t="s">
        <v>311</v>
      </c>
      <c r="E268" s="53" t="s">
        <v>47</v>
      </c>
      <c r="F268" s="100">
        <f>3.7+2.3+2*2.1</f>
        <v>10.2</v>
      </c>
      <c r="G268" s="101">
        <v>0</v>
      </c>
      <c r="H268" s="109">
        <f>ROUND((G268*F268),2)</f>
        <v>0</v>
      </c>
    </row>
    <row r="269" spans="1:8" ht="27.75" customHeight="1">
      <c r="A269" s="41"/>
      <c r="B269" s="128" t="s">
        <v>310</v>
      </c>
      <c r="C269" s="41"/>
      <c r="D269" s="40" t="s">
        <v>312</v>
      </c>
      <c r="E269" s="41"/>
      <c r="F269" s="103"/>
      <c r="G269" s="353"/>
      <c r="H269" s="115"/>
    </row>
    <row r="270" spans="1:8" ht="45" customHeight="1">
      <c r="A270" s="41"/>
      <c r="B270" s="128" t="s">
        <v>310</v>
      </c>
      <c r="C270" s="41"/>
      <c r="D270" s="40" t="s">
        <v>346</v>
      </c>
      <c r="E270" s="41"/>
      <c r="F270" s="103"/>
      <c r="G270" s="353"/>
      <c r="H270" s="104"/>
    </row>
    <row r="271" spans="1:8" ht="15" customHeight="1">
      <c r="A271" s="41"/>
      <c r="B271" s="128"/>
      <c r="C271" s="41"/>
      <c r="D271" s="40"/>
      <c r="E271" s="41"/>
      <c r="F271" s="103"/>
      <c r="G271" s="353"/>
      <c r="H271" s="104"/>
    </row>
    <row r="272" spans="1:8" ht="15" customHeight="1">
      <c r="A272" s="53">
        <v>79</v>
      </c>
      <c r="B272" s="379" t="s">
        <v>606</v>
      </c>
      <c r="C272" s="379" t="s">
        <v>278</v>
      </c>
      <c r="D272" s="34" t="s">
        <v>605</v>
      </c>
      <c r="E272" s="380" t="s">
        <v>47</v>
      </c>
      <c r="F272" s="380">
        <f>0.12*114</f>
        <v>13.68</v>
      </c>
      <c r="G272" s="110">
        <v>0</v>
      </c>
      <c r="H272" s="109">
        <f>ROUND((G272*F272),2)</f>
        <v>0</v>
      </c>
    </row>
    <row r="273" spans="1:8" ht="30" customHeight="1">
      <c r="A273" s="41"/>
      <c r="B273" s="128"/>
      <c r="C273" s="41"/>
      <c r="D273" s="40" t="s">
        <v>610</v>
      </c>
      <c r="E273" s="41"/>
      <c r="F273" s="103"/>
      <c r="G273" s="362"/>
      <c r="H273" s="111"/>
    </row>
    <row r="274" spans="1:6" ht="15" customHeight="1">
      <c r="A274" s="359"/>
      <c r="B274" s="369"/>
      <c r="C274" s="358"/>
      <c r="D274" s="359"/>
      <c r="E274" s="358"/>
      <c r="F274" s="361"/>
    </row>
    <row r="275" spans="1:8" ht="15" customHeight="1">
      <c r="A275" s="53">
        <v>80</v>
      </c>
      <c r="B275" s="379" t="s">
        <v>604</v>
      </c>
      <c r="C275" s="379" t="s">
        <v>278</v>
      </c>
      <c r="D275" s="34" t="s">
        <v>603</v>
      </c>
      <c r="E275" s="380" t="s">
        <v>47</v>
      </c>
      <c r="F275" s="380">
        <f>114*0.12</f>
        <v>13.68</v>
      </c>
      <c r="G275" s="110">
        <v>0</v>
      </c>
      <c r="H275" s="109">
        <f>ROUND((G275*F275),2)</f>
        <v>0</v>
      </c>
    </row>
    <row r="276" spans="1:8" ht="30" customHeight="1">
      <c r="A276" s="41"/>
      <c r="B276" s="128"/>
      <c r="C276" s="41"/>
      <c r="D276" s="40" t="s">
        <v>611</v>
      </c>
      <c r="E276" s="41"/>
      <c r="F276" s="103"/>
      <c r="G276" s="362"/>
      <c r="H276" s="111"/>
    </row>
    <row r="277" spans="1:6" ht="15" customHeight="1">
      <c r="A277" s="359"/>
      <c r="B277" s="369"/>
      <c r="C277" s="358"/>
      <c r="D277" s="359"/>
      <c r="E277" s="358"/>
      <c r="F277" s="361"/>
    </row>
    <row r="278" spans="1:8" ht="15" customHeight="1">
      <c r="A278" s="53">
        <v>81</v>
      </c>
      <c r="B278" s="79" t="s">
        <v>607</v>
      </c>
      <c r="C278" s="53" t="s">
        <v>249</v>
      </c>
      <c r="D278" s="34" t="s">
        <v>608</v>
      </c>
      <c r="E278" s="355" t="s">
        <v>214</v>
      </c>
      <c r="F278" s="382">
        <f>6+4+2+1+3+2+26+13</f>
        <v>57</v>
      </c>
      <c r="G278" s="108">
        <v>0</v>
      </c>
      <c r="H278" s="109">
        <f>ROUND((G278*F278),2)</f>
        <v>0</v>
      </c>
    </row>
    <row r="279" spans="1:8" ht="134.25" customHeight="1">
      <c r="A279" s="41"/>
      <c r="B279" s="128"/>
      <c r="C279" s="41"/>
      <c r="D279" s="40" t="s">
        <v>609</v>
      </c>
      <c r="E279" s="358"/>
      <c r="F279" s="390"/>
      <c r="G279" s="362"/>
      <c r="H279" s="115"/>
    </row>
    <row r="280" spans="1:8" ht="15" customHeight="1">
      <c r="A280" s="41"/>
      <c r="B280" s="128"/>
      <c r="C280" s="41"/>
      <c r="D280" s="40"/>
      <c r="E280" s="41"/>
      <c r="F280" s="103"/>
      <c r="G280" s="353"/>
      <c r="H280" s="104"/>
    </row>
    <row r="281" spans="1:10" ht="15" customHeight="1">
      <c r="A281" s="53">
        <v>82</v>
      </c>
      <c r="B281" s="79" t="s">
        <v>258</v>
      </c>
      <c r="C281" s="53" t="s">
        <v>249</v>
      </c>
      <c r="D281" s="34" t="s">
        <v>215</v>
      </c>
      <c r="E281" s="355" t="s">
        <v>214</v>
      </c>
      <c r="F281" s="382">
        <f>1604.54+4288+120</f>
        <v>6012.54</v>
      </c>
      <c r="G281" s="108">
        <v>0</v>
      </c>
      <c r="H281" s="109">
        <f>ROUND((G281*F281),2)</f>
        <v>0</v>
      </c>
      <c r="J281" s="394"/>
    </row>
    <row r="282" spans="1:8" ht="15" customHeight="1">
      <c r="A282" s="41"/>
      <c r="B282" s="128" t="s">
        <v>258</v>
      </c>
      <c r="C282" s="41"/>
      <c r="D282" s="40" t="s">
        <v>649</v>
      </c>
      <c r="E282" s="358"/>
      <c r="F282" s="390"/>
      <c r="G282" s="362"/>
      <c r="H282" s="115"/>
    </row>
    <row r="283" spans="1:8" ht="44.25" customHeight="1">
      <c r="A283" s="41"/>
      <c r="B283" s="128" t="s">
        <v>258</v>
      </c>
      <c r="C283" s="41"/>
      <c r="D283" s="40" t="s">
        <v>678</v>
      </c>
      <c r="E283" s="358"/>
      <c r="F283" s="390"/>
      <c r="G283" s="362"/>
      <c r="H283" s="111"/>
    </row>
    <row r="284" spans="1:8" ht="15" customHeight="1">
      <c r="A284" s="41"/>
      <c r="B284" s="92"/>
      <c r="C284" s="41"/>
      <c r="D284" s="40"/>
      <c r="E284" s="358"/>
      <c r="F284" s="390"/>
      <c r="G284" s="362"/>
      <c r="H284" s="111"/>
    </row>
    <row r="285" spans="1:8" ht="15" customHeight="1">
      <c r="A285" s="53">
        <v>83</v>
      </c>
      <c r="B285" s="79" t="s">
        <v>259</v>
      </c>
      <c r="C285" s="53" t="s">
        <v>249</v>
      </c>
      <c r="D285" s="34" t="s">
        <v>216</v>
      </c>
      <c r="E285" s="355" t="s">
        <v>101</v>
      </c>
      <c r="F285" s="382">
        <f>14*1.6+88*1.6+2.1*1.6</f>
        <v>166.56000000000003</v>
      </c>
      <c r="G285" s="108">
        <v>0</v>
      </c>
      <c r="H285" s="109">
        <f>ROUND((G285*F285),2)</f>
        <v>0</v>
      </c>
    </row>
    <row r="286" spans="1:8" ht="15" customHeight="1">
      <c r="A286" s="41"/>
      <c r="B286" s="128" t="s">
        <v>259</v>
      </c>
      <c r="C286" s="41"/>
      <c r="D286" s="40" t="s">
        <v>347</v>
      </c>
      <c r="E286" s="358"/>
      <c r="F286" s="390"/>
      <c r="G286" s="362"/>
      <c r="H286" s="111"/>
    </row>
    <row r="287" spans="1:8" ht="44.25" customHeight="1">
      <c r="A287" s="41"/>
      <c r="B287" s="128" t="s">
        <v>259</v>
      </c>
      <c r="C287" s="41"/>
      <c r="D287" s="40" t="s">
        <v>650</v>
      </c>
      <c r="E287" s="358"/>
      <c r="F287" s="390"/>
      <c r="G287" s="362"/>
      <c r="H287" s="111"/>
    </row>
    <row r="288" spans="1:8" ht="15" customHeight="1">
      <c r="A288" s="41"/>
      <c r="B288" s="92"/>
      <c r="C288" s="41"/>
      <c r="D288" s="40"/>
      <c r="E288" s="358"/>
      <c r="F288" s="390"/>
      <c r="G288" s="362"/>
      <c r="H288" s="111"/>
    </row>
    <row r="289" spans="1:8" ht="15" customHeight="1">
      <c r="A289" s="53">
        <v>84</v>
      </c>
      <c r="B289" s="79" t="s">
        <v>256</v>
      </c>
      <c r="C289" s="53" t="s">
        <v>249</v>
      </c>
      <c r="D289" s="34" t="s">
        <v>217</v>
      </c>
      <c r="E289" s="355" t="s">
        <v>45</v>
      </c>
      <c r="F289" s="382">
        <f>60.689+236+3</f>
        <v>299.689</v>
      </c>
      <c r="G289" s="108">
        <v>0</v>
      </c>
      <c r="H289" s="109">
        <f>ROUND((G289*F289),2)</f>
        <v>0</v>
      </c>
    </row>
    <row r="290" spans="1:8" ht="43.5" customHeight="1">
      <c r="A290" s="41"/>
      <c r="B290" s="128" t="s">
        <v>256</v>
      </c>
      <c r="C290" s="41"/>
      <c r="D290" s="40" t="s">
        <v>262</v>
      </c>
      <c r="E290" s="358"/>
      <c r="F290" s="390"/>
      <c r="G290" s="362"/>
      <c r="H290" s="111"/>
    </row>
    <row r="291" spans="1:8" ht="42" customHeight="1">
      <c r="A291" s="41"/>
      <c r="B291" s="128" t="s">
        <v>256</v>
      </c>
      <c r="C291" s="41"/>
      <c r="D291" s="40" t="s">
        <v>676</v>
      </c>
      <c r="E291" s="358"/>
      <c r="F291" s="390"/>
      <c r="G291" s="362"/>
      <c r="H291" s="111"/>
    </row>
    <row r="292" spans="1:8" ht="30" customHeight="1">
      <c r="A292" s="41"/>
      <c r="B292" s="128"/>
      <c r="C292" s="41"/>
      <c r="D292" s="40" t="s">
        <v>587</v>
      </c>
      <c r="E292" s="358"/>
      <c r="F292" s="390"/>
      <c r="G292" s="362"/>
      <c r="H292" s="111"/>
    </row>
    <row r="293" spans="1:8" ht="15" customHeight="1">
      <c r="A293" s="41"/>
      <c r="B293" s="92"/>
      <c r="C293" s="41"/>
      <c r="D293" s="40"/>
      <c r="E293" s="358"/>
      <c r="F293" s="390"/>
      <c r="G293" s="362"/>
      <c r="H293" s="111"/>
    </row>
    <row r="294" spans="1:8" ht="15" customHeight="1">
      <c r="A294" s="53">
        <v>85</v>
      </c>
      <c r="B294" s="79" t="s">
        <v>257</v>
      </c>
      <c r="C294" s="53" t="s">
        <v>249</v>
      </c>
      <c r="D294" s="34" t="s">
        <v>354</v>
      </c>
      <c r="E294" s="355" t="s">
        <v>45</v>
      </c>
      <c r="F294" s="382">
        <f>25.9+52.1</f>
        <v>78</v>
      </c>
      <c r="G294" s="108">
        <v>0</v>
      </c>
      <c r="H294" s="109">
        <f>ROUND((G294*F294),2)</f>
        <v>0</v>
      </c>
    </row>
    <row r="295" spans="1:8" ht="16.5" customHeight="1">
      <c r="A295" s="41"/>
      <c r="B295" s="128" t="s">
        <v>257</v>
      </c>
      <c r="C295" s="41"/>
      <c r="D295" s="40" t="s">
        <v>261</v>
      </c>
      <c r="E295" s="358"/>
      <c r="F295" s="390"/>
      <c r="G295" s="362"/>
      <c r="H295" s="111"/>
    </row>
    <row r="296" spans="1:8" ht="30" customHeight="1">
      <c r="A296" s="41"/>
      <c r="B296" s="128" t="s">
        <v>257</v>
      </c>
      <c r="C296" s="41"/>
      <c r="D296" s="40" t="s">
        <v>675</v>
      </c>
      <c r="E296" s="358"/>
      <c r="F296" s="390"/>
      <c r="G296" s="362"/>
      <c r="H296" s="111"/>
    </row>
    <row r="297" spans="1:8" ht="15" customHeight="1">
      <c r="A297" s="41"/>
      <c r="B297" s="92"/>
      <c r="C297" s="41"/>
      <c r="D297" s="40"/>
      <c r="E297" s="358"/>
      <c r="F297" s="390"/>
      <c r="G297" s="362"/>
      <c r="H297" s="111"/>
    </row>
    <row r="298" spans="1:8" ht="15" customHeight="1">
      <c r="A298" s="53">
        <v>86</v>
      </c>
      <c r="B298" s="79" t="s">
        <v>260</v>
      </c>
      <c r="C298" s="53" t="s">
        <v>249</v>
      </c>
      <c r="D298" s="34" t="s">
        <v>218</v>
      </c>
      <c r="E298" s="355" t="s">
        <v>214</v>
      </c>
      <c r="F298" s="382">
        <v>381</v>
      </c>
      <c r="G298" s="108">
        <v>0</v>
      </c>
      <c r="H298" s="109">
        <f>ROUND((G298*F298),2)</f>
        <v>0</v>
      </c>
    </row>
    <row r="299" spans="1:8" ht="15" customHeight="1">
      <c r="A299" s="41"/>
      <c r="B299" s="128" t="s">
        <v>260</v>
      </c>
      <c r="C299" s="41"/>
      <c r="D299" s="40" t="s">
        <v>385</v>
      </c>
      <c r="E299" s="358"/>
      <c r="F299" s="390"/>
      <c r="G299" s="362"/>
      <c r="H299" s="115"/>
    </row>
    <row r="300" spans="1:8" ht="30" customHeight="1">
      <c r="A300" s="41"/>
      <c r="B300" s="128" t="s">
        <v>260</v>
      </c>
      <c r="C300" s="41"/>
      <c r="D300" s="40" t="s">
        <v>219</v>
      </c>
      <c r="E300" s="358"/>
      <c r="F300" s="390"/>
      <c r="G300" s="362"/>
      <c r="H300" s="111"/>
    </row>
    <row r="301" spans="1:8" ht="15" customHeight="1">
      <c r="A301" s="41"/>
      <c r="B301" s="92"/>
      <c r="C301" s="41"/>
      <c r="D301" s="40"/>
      <c r="E301" s="358"/>
      <c r="F301" s="390"/>
      <c r="G301" s="362"/>
      <c r="H301" s="111"/>
    </row>
    <row r="302" spans="1:8" ht="15" customHeight="1">
      <c r="A302" s="53">
        <v>87</v>
      </c>
      <c r="B302" s="79" t="s">
        <v>270</v>
      </c>
      <c r="C302" s="53" t="s">
        <v>249</v>
      </c>
      <c r="D302" s="34" t="s">
        <v>273</v>
      </c>
      <c r="E302" s="355" t="s">
        <v>45</v>
      </c>
      <c r="F302" s="382">
        <f>140+490+90+5</f>
        <v>725</v>
      </c>
      <c r="G302" s="108">
        <v>0</v>
      </c>
      <c r="H302" s="109">
        <f>ROUND((G302*F302),2)</f>
        <v>0</v>
      </c>
    </row>
    <row r="303" spans="1:8" ht="15" customHeight="1">
      <c r="A303" s="41"/>
      <c r="B303" s="128" t="s">
        <v>270</v>
      </c>
      <c r="C303" s="41"/>
      <c r="D303" s="40" t="s">
        <v>651</v>
      </c>
      <c r="E303" s="358"/>
      <c r="F303" s="390"/>
      <c r="G303" s="362"/>
      <c r="H303" s="115"/>
    </row>
    <row r="304" spans="1:8" ht="149.25" customHeight="1">
      <c r="A304" s="41"/>
      <c r="B304" s="128" t="s">
        <v>270</v>
      </c>
      <c r="C304" s="41"/>
      <c r="D304" s="40" t="s">
        <v>652</v>
      </c>
      <c r="E304" s="358"/>
      <c r="F304" s="390"/>
      <c r="G304" s="362"/>
      <c r="H304" s="111"/>
    </row>
    <row r="305" spans="1:8" ht="15" customHeight="1">
      <c r="A305" s="41"/>
      <c r="B305" s="92"/>
      <c r="C305" s="41"/>
      <c r="D305" s="40"/>
      <c r="E305" s="358"/>
      <c r="F305" s="390"/>
      <c r="G305" s="362"/>
      <c r="H305" s="111"/>
    </row>
    <row r="306" spans="1:8" ht="15" customHeight="1">
      <c r="A306" s="53">
        <v>88</v>
      </c>
      <c r="B306" s="79" t="s">
        <v>374</v>
      </c>
      <c r="C306" s="53" t="s">
        <v>249</v>
      </c>
      <c r="D306" s="34" t="s">
        <v>238</v>
      </c>
      <c r="E306" s="355" t="s">
        <v>239</v>
      </c>
      <c r="F306" s="382">
        <v>1</v>
      </c>
      <c r="G306" s="108">
        <v>0</v>
      </c>
      <c r="H306" s="109">
        <f>ROUND((G306*F306),2)</f>
        <v>0</v>
      </c>
    </row>
    <row r="307" spans="1:8" ht="31.5" customHeight="1">
      <c r="A307" s="41"/>
      <c r="B307" s="128" t="s">
        <v>374</v>
      </c>
      <c r="C307" s="41"/>
      <c r="D307" s="40" t="s">
        <v>240</v>
      </c>
      <c r="E307" s="358"/>
      <c r="F307" s="390"/>
      <c r="G307" s="362"/>
      <c r="H307" s="111"/>
    </row>
    <row r="308" spans="1:8" ht="15" customHeight="1">
      <c r="A308" s="41"/>
      <c r="B308" s="92"/>
      <c r="C308" s="41"/>
      <c r="D308" s="40"/>
      <c r="E308" s="358"/>
      <c r="F308" s="390"/>
      <c r="G308" s="362"/>
      <c r="H308" s="111"/>
    </row>
    <row r="309" spans="1:8" ht="15" customHeight="1">
      <c r="A309" s="53">
        <v>89</v>
      </c>
      <c r="B309" s="79" t="s">
        <v>372</v>
      </c>
      <c r="C309" s="53" t="s">
        <v>249</v>
      </c>
      <c r="D309" s="34" t="s">
        <v>373</v>
      </c>
      <c r="E309" s="355" t="s">
        <v>43</v>
      </c>
      <c r="F309" s="382">
        <f>7.7+1.2</f>
        <v>8.9</v>
      </c>
      <c r="G309" s="108">
        <v>0</v>
      </c>
      <c r="H309" s="109">
        <f>ROUND((G309*F309),2)</f>
        <v>0</v>
      </c>
    </row>
    <row r="310" spans="1:8" ht="45" customHeight="1">
      <c r="A310" s="41"/>
      <c r="B310" s="128" t="s">
        <v>372</v>
      </c>
      <c r="C310" s="41"/>
      <c r="D310" s="40" t="s">
        <v>375</v>
      </c>
      <c r="E310" s="358"/>
      <c r="F310" s="390"/>
      <c r="G310" s="362"/>
      <c r="H310" s="111"/>
    </row>
    <row r="311" spans="1:8" ht="15" customHeight="1">
      <c r="A311" s="41"/>
      <c r="B311" s="92"/>
      <c r="C311" s="41"/>
      <c r="D311" s="40"/>
      <c r="E311" s="358"/>
      <c r="F311" s="390"/>
      <c r="G311" s="362"/>
      <c r="H311" s="111"/>
    </row>
    <row r="312" spans="1:8" ht="15" customHeight="1">
      <c r="A312" s="53">
        <v>90</v>
      </c>
      <c r="B312" s="79" t="s">
        <v>372</v>
      </c>
      <c r="C312" s="53" t="s">
        <v>249</v>
      </c>
      <c r="D312" s="34" t="s">
        <v>376</v>
      </c>
      <c r="E312" s="355" t="s">
        <v>44</v>
      </c>
      <c r="F312" s="382">
        <f>180/1000*F309</f>
        <v>1.602</v>
      </c>
      <c r="G312" s="108">
        <v>0</v>
      </c>
      <c r="H312" s="109">
        <f>ROUND((G312*F312),2)</f>
        <v>0</v>
      </c>
    </row>
    <row r="313" spans="1:8" ht="15" customHeight="1">
      <c r="A313" s="41"/>
      <c r="B313" s="128" t="s">
        <v>372</v>
      </c>
      <c r="C313" s="41"/>
      <c r="D313" s="40" t="s">
        <v>381</v>
      </c>
      <c r="E313" s="358"/>
      <c r="F313" s="390"/>
      <c r="G313" s="362"/>
      <c r="H313" s="111"/>
    </row>
    <row r="314" spans="1:8" ht="15" customHeight="1">
      <c r="A314" s="41"/>
      <c r="B314" s="128" t="s">
        <v>372</v>
      </c>
      <c r="C314" s="41"/>
      <c r="D314" s="40" t="s">
        <v>395</v>
      </c>
      <c r="E314" s="358"/>
      <c r="F314" s="390"/>
      <c r="G314" s="362"/>
      <c r="H314" s="111"/>
    </row>
    <row r="315" spans="1:8" ht="15" customHeight="1">
      <c r="A315" s="41"/>
      <c r="B315" s="92"/>
      <c r="C315" s="41"/>
      <c r="D315" s="40"/>
      <c r="E315" s="358"/>
      <c r="F315" s="390"/>
      <c r="G315" s="362"/>
      <c r="H315" s="111"/>
    </row>
    <row r="316" spans="1:8" ht="15" customHeight="1">
      <c r="A316" s="53">
        <v>91</v>
      </c>
      <c r="B316" s="79" t="s">
        <v>263</v>
      </c>
      <c r="C316" s="53" t="s">
        <v>249</v>
      </c>
      <c r="D316" s="34" t="s">
        <v>221</v>
      </c>
      <c r="E316" s="355" t="s">
        <v>214</v>
      </c>
      <c r="F316" s="382">
        <f>7102+40+400</f>
        <v>7542</v>
      </c>
      <c r="G316" s="108">
        <v>0</v>
      </c>
      <c r="H316" s="109">
        <f>ROUND((G316*F316),2)</f>
        <v>0</v>
      </c>
    </row>
    <row r="317" spans="1:8" ht="30" customHeight="1">
      <c r="A317" s="41"/>
      <c r="B317" s="128" t="s">
        <v>263</v>
      </c>
      <c r="C317" s="41"/>
      <c r="D317" s="40" t="s">
        <v>677</v>
      </c>
      <c r="E317" s="358"/>
      <c r="F317" s="390"/>
      <c r="G317" s="362"/>
      <c r="H317" s="111"/>
    </row>
    <row r="318" spans="1:8" ht="15" customHeight="1">
      <c r="A318" s="41"/>
      <c r="B318" s="92"/>
      <c r="C318" s="41"/>
      <c r="D318" s="40"/>
      <c r="E318" s="358"/>
      <c r="F318" s="390"/>
      <c r="G318" s="362"/>
      <c r="H318" s="111"/>
    </row>
    <row r="319" spans="1:8" ht="15" customHeight="1">
      <c r="A319" s="53">
        <v>92</v>
      </c>
      <c r="B319" s="79" t="s">
        <v>222</v>
      </c>
      <c r="C319" s="53" t="s">
        <v>249</v>
      </c>
      <c r="D319" s="34" t="s">
        <v>65</v>
      </c>
      <c r="E319" s="355" t="s">
        <v>43</v>
      </c>
      <c r="F319" s="382">
        <v>42.7</v>
      </c>
      <c r="G319" s="108">
        <v>0</v>
      </c>
      <c r="H319" s="109">
        <f>ROUND((G319*F319),2)</f>
        <v>0</v>
      </c>
    </row>
    <row r="320" spans="1:8" ht="15" customHeight="1">
      <c r="A320" s="41"/>
      <c r="B320" s="128" t="s">
        <v>222</v>
      </c>
      <c r="C320" s="41"/>
      <c r="D320" s="40" t="s">
        <v>235</v>
      </c>
      <c r="E320" s="358"/>
      <c r="F320" s="390"/>
      <c r="G320" s="362"/>
      <c r="H320" s="111"/>
    </row>
    <row r="321" spans="1:8" ht="75" customHeight="1">
      <c r="A321" s="41"/>
      <c r="B321" s="128" t="s">
        <v>222</v>
      </c>
      <c r="C321" s="41"/>
      <c r="D321" s="40" t="s">
        <v>369</v>
      </c>
      <c r="E321" s="358"/>
      <c r="F321" s="390"/>
      <c r="G321" s="362"/>
      <c r="H321" s="111"/>
    </row>
    <row r="322" spans="1:8" ht="396.75" customHeight="1">
      <c r="A322" s="41"/>
      <c r="B322" s="128" t="s">
        <v>222</v>
      </c>
      <c r="C322" s="41"/>
      <c r="D322" s="40" t="s">
        <v>352</v>
      </c>
      <c r="E322" s="358"/>
      <c r="F322" s="390"/>
      <c r="G322" s="362"/>
      <c r="H322" s="111"/>
    </row>
    <row r="323" spans="1:8" ht="15" customHeight="1">
      <c r="A323" s="41"/>
      <c r="B323" s="92"/>
      <c r="C323" s="41"/>
      <c r="D323" s="40"/>
      <c r="E323" s="358"/>
      <c r="F323" s="390"/>
      <c r="G323" s="362"/>
      <c r="H323" s="111"/>
    </row>
    <row r="324" spans="1:8" ht="15" customHeight="1">
      <c r="A324" s="53">
        <v>93</v>
      </c>
      <c r="B324" s="79" t="s">
        <v>378</v>
      </c>
      <c r="C324" s="53" t="s">
        <v>278</v>
      </c>
      <c r="D324" s="34" t="s">
        <v>380</v>
      </c>
      <c r="E324" s="53" t="s">
        <v>47</v>
      </c>
      <c r="F324" s="100">
        <f>4*60</f>
        <v>240</v>
      </c>
      <c r="G324" s="101">
        <v>0</v>
      </c>
      <c r="H324" s="109">
        <f>ROUND((G324*F324),2)</f>
        <v>0</v>
      </c>
    </row>
    <row r="325" spans="1:8" ht="29.25" customHeight="1">
      <c r="A325" s="41"/>
      <c r="B325" s="128" t="s">
        <v>378</v>
      </c>
      <c r="C325" s="41"/>
      <c r="D325" s="40" t="s">
        <v>379</v>
      </c>
      <c r="E325" s="41"/>
      <c r="F325" s="103"/>
      <c r="G325" s="353"/>
      <c r="H325" s="104"/>
    </row>
    <row r="326" spans="1:8" ht="15" customHeight="1">
      <c r="A326" s="41"/>
      <c r="B326" s="92"/>
      <c r="C326" s="41"/>
      <c r="D326" s="40"/>
      <c r="E326" s="41"/>
      <c r="F326" s="103"/>
      <c r="G326" s="353"/>
      <c r="H326" s="104"/>
    </row>
    <row r="327" spans="1:8" ht="15" customHeight="1">
      <c r="A327" s="53">
        <v>94</v>
      </c>
      <c r="B327" s="79" t="s">
        <v>229</v>
      </c>
      <c r="C327" s="53" t="s">
        <v>249</v>
      </c>
      <c r="D327" s="34" t="s">
        <v>223</v>
      </c>
      <c r="E327" s="355" t="s">
        <v>44</v>
      </c>
      <c r="F327" s="382">
        <f>220/1000*F319</f>
        <v>9.394</v>
      </c>
      <c r="G327" s="108">
        <v>0</v>
      </c>
      <c r="H327" s="109">
        <f>ROUND((G327*F327),2)</f>
        <v>0</v>
      </c>
    </row>
    <row r="328" spans="1:8" ht="15" customHeight="1">
      <c r="A328" s="41"/>
      <c r="B328" s="128" t="s">
        <v>229</v>
      </c>
      <c r="C328" s="41"/>
      <c r="D328" s="40" t="s">
        <v>371</v>
      </c>
      <c r="E328" s="358"/>
      <c r="F328" s="390"/>
      <c r="G328" s="362"/>
      <c r="H328" s="111"/>
    </row>
    <row r="329" spans="1:8" ht="15" customHeight="1">
      <c r="A329" s="41"/>
      <c r="B329" s="128" t="s">
        <v>229</v>
      </c>
      <c r="C329" s="41"/>
      <c r="D329" s="40" t="s">
        <v>230</v>
      </c>
      <c r="E329" s="358"/>
      <c r="F329" s="390"/>
      <c r="G329" s="362"/>
      <c r="H329" s="111"/>
    </row>
    <row r="330" spans="1:8" ht="15" customHeight="1">
      <c r="A330" s="41"/>
      <c r="B330" s="92"/>
      <c r="C330" s="41"/>
      <c r="D330" s="40"/>
      <c r="E330" s="358"/>
      <c r="F330" s="390"/>
      <c r="G330" s="362"/>
      <c r="H330" s="111"/>
    </row>
    <row r="331" spans="1:8" ht="15" customHeight="1">
      <c r="A331" s="53">
        <v>95</v>
      </c>
      <c r="B331" s="79" t="s">
        <v>313</v>
      </c>
      <c r="C331" s="53" t="s">
        <v>278</v>
      </c>
      <c r="D331" s="34" t="s">
        <v>314</v>
      </c>
      <c r="E331" s="53" t="s">
        <v>64</v>
      </c>
      <c r="F331" s="100">
        <v>6</v>
      </c>
      <c r="G331" s="101">
        <v>0</v>
      </c>
      <c r="H331" s="109">
        <f>ROUND((G331*F331),2)</f>
        <v>0</v>
      </c>
    </row>
    <row r="332" spans="1:8" ht="15" customHeight="1">
      <c r="A332" s="41"/>
      <c r="B332" s="128" t="s">
        <v>313</v>
      </c>
      <c r="C332" s="41"/>
      <c r="D332" s="40" t="s">
        <v>315</v>
      </c>
      <c r="E332" s="358"/>
      <c r="F332" s="390"/>
      <c r="G332" s="362"/>
      <c r="H332" s="111"/>
    </row>
    <row r="333" spans="1:8" ht="15" customHeight="1">
      <c r="A333" s="41"/>
      <c r="B333" s="92"/>
      <c r="C333" s="41"/>
      <c r="D333" s="40"/>
      <c r="E333" s="358"/>
      <c r="F333" s="390"/>
      <c r="G333" s="362"/>
      <c r="H333" s="111"/>
    </row>
    <row r="334" spans="1:8" ht="15" customHeight="1">
      <c r="A334" s="53">
        <v>96</v>
      </c>
      <c r="B334" s="79" t="s">
        <v>377</v>
      </c>
      <c r="C334" s="53" t="s">
        <v>249</v>
      </c>
      <c r="D334" s="34" t="s">
        <v>318</v>
      </c>
      <c r="E334" s="53" t="s">
        <v>47</v>
      </c>
      <c r="F334" s="100">
        <v>73</v>
      </c>
      <c r="G334" s="101">
        <v>0</v>
      </c>
      <c r="H334" s="109">
        <f>ROUND((G334*F334),2)</f>
        <v>0</v>
      </c>
    </row>
    <row r="335" spans="1:8" ht="32.25" customHeight="1">
      <c r="A335" s="41"/>
      <c r="B335" s="128" t="s">
        <v>377</v>
      </c>
      <c r="C335" s="41"/>
      <c r="D335" s="40" t="s">
        <v>612</v>
      </c>
      <c r="E335" s="358"/>
      <c r="F335" s="390"/>
      <c r="G335" s="362"/>
      <c r="H335" s="111"/>
    </row>
    <row r="336" spans="1:8" ht="15" customHeight="1">
      <c r="A336" s="41"/>
      <c r="B336" s="92"/>
      <c r="C336" s="41"/>
      <c r="D336" s="40"/>
      <c r="E336" s="358"/>
      <c r="F336" s="390"/>
      <c r="G336" s="362"/>
      <c r="H336" s="111"/>
    </row>
    <row r="337" spans="1:8" ht="15" customHeight="1">
      <c r="A337" s="53">
        <v>97</v>
      </c>
      <c r="B337" s="79" t="s">
        <v>320</v>
      </c>
      <c r="C337" s="53" t="s">
        <v>249</v>
      </c>
      <c r="D337" s="34" t="s">
        <v>319</v>
      </c>
      <c r="E337" s="53" t="s">
        <v>47</v>
      </c>
      <c r="F337" s="100">
        <v>36</v>
      </c>
      <c r="G337" s="101">
        <v>0</v>
      </c>
      <c r="H337" s="109">
        <f>ROUND((G337*F337),2)</f>
        <v>0</v>
      </c>
    </row>
    <row r="338" spans="1:8" ht="31.5" customHeight="1">
      <c r="A338" s="41"/>
      <c r="B338" s="128" t="s">
        <v>320</v>
      </c>
      <c r="C338" s="41"/>
      <c r="D338" s="40" t="s">
        <v>405</v>
      </c>
      <c r="E338" s="358"/>
      <c r="F338" s="390"/>
      <c r="G338" s="362"/>
      <c r="H338" s="111"/>
    </row>
    <row r="339" spans="1:8" ht="15" customHeight="1">
      <c r="A339" s="41"/>
      <c r="B339" s="92"/>
      <c r="C339" s="41"/>
      <c r="D339" s="40"/>
      <c r="E339" s="358"/>
      <c r="F339" s="390"/>
      <c r="G339" s="362"/>
      <c r="H339" s="111"/>
    </row>
    <row r="340" spans="1:8" ht="15" customHeight="1">
      <c r="A340" s="53">
        <v>98</v>
      </c>
      <c r="B340" s="79" t="s">
        <v>349</v>
      </c>
      <c r="C340" s="53" t="s">
        <v>249</v>
      </c>
      <c r="D340" s="34" t="s">
        <v>348</v>
      </c>
      <c r="E340" s="53" t="s">
        <v>45</v>
      </c>
      <c r="F340" s="100">
        <v>240</v>
      </c>
      <c r="G340" s="101">
        <v>0</v>
      </c>
      <c r="H340" s="109">
        <f>ROUND((G340*F340),2)</f>
        <v>0</v>
      </c>
    </row>
    <row r="341" spans="1:8" ht="45.75" customHeight="1">
      <c r="A341" s="41"/>
      <c r="B341" s="128" t="s">
        <v>349</v>
      </c>
      <c r="C341" s="41"/>
      <c r="D341" s="40" t="s">
        <v>406</v>
      </c>
      <c r="E341" s="41"/>
      <c r="F341" s="103"/>
      <c r="G341" s="353"/>
      <c r="H341" s="104"/>
    </row>
    <row r="342" spans="1:8" ht="15" customHeight="1">
      <c r="A342" s="41"/>
      <c r="B342" s="92"/>
      <c r="C342" s="41"/>
      <c r="D342" s="40"/>
      <c r="E342" s="41"/>
      <c r="F342" s="103"/>
      <c r="G342" s="353"/>
      <c r="H342" s="104"/>
    </row>
    <row r="343" spans="1:8" ht="15" customHeight="1">
      <c r="A343" s="53">
        <v>99</v>
      </c>
      <c r="B343" s="79" t="s">
        <v>353</v>
      </c>
      <c r="C343" s="53" t="s">
        <v>278</v>
      </c>
      <c r="D343" s="34" t="s">
        <v>350</v>
      </c>
      <c r="E343" s="53" t="s">
        <v>45</v>
      </c>
      <c r="F343" s="100">
        <v>1.7</v>
      </c>
      <c r="G343" s="101">
        <v>0</v>
      </c>
      <c r="H343" s="109">
        <f>ROUND((G343*F343),2)</f>
        <v>0</v>
      </c>
    </row>
    <row r="344" spans="1:8" ht="15" customHeight="1">
      <c r="A344" s="41"/>
      <c r="B344" s="128" t="s">
        <v>353</v>
      </c>
      <c r="C344" s="41"/>
      <c r="D344" s="40" t="s">
        <v>355</v>
      </c>
      <c r="E344" s="41"/>
      <c r="F344" s="103"/>
      <c r="G344" s="353"/>
      <c r="H344" s="104"/>
    </row>
    <row r="345" spans="1:8" ht="15" customHeight="1">
      <c r="A345" s="41"/>
      <c r="B345" s="92"/>
      <c r="C345" s="41"/>
      <c r="D345" s="40"/>
      <c r="E345" s="41"/>
      <c r="F345" s="103"/>
      <c r="G345" s="353"/>
      <c r="H345" s="104"/>
    </row>
    <row r="346" spans="1:8" ht="15" customHeight="1">
      <c r="A346" s="53">
        <v>100</v>
      </c>
      <c r="B346" s="79" t="s">
        <v>326</v>
      </c>
      <c r="C346" s="53" t="s">
        <v>278</v>
      </c>
      <c r="D346" s="34" t="s">
        <v>66</v>
      </c>
      <c r="E346" s="53" t="s">
        <v>64</v>
      </c>
      <c r="F346" s="100">
        <v>1</v>
      </c>
      <c r="G346" s="101">
        <v>0</v>
      </c>
      <c r="H346" s="109">
        <f>ROUND((G346*F346),2)</f>
        <v>0</v>
      </c>
    </row>
    <row r="347" spans="1:8" ht="15" customHeight="1">
      <c r="A347" s="41"/>
      <c r="B347" s="92"/>
      <c r="C347" s="41"/>
      <c r="D347" s="40"/>
      <c r="E347" s="358"/>
      <c r="F347" s="390"/>
      <c r="G347" s="362"/>
      <c r="H347" s="111"/>
    </row>
    <row r="348" spans="1:8" ht="15" customHeight="1">
      <c r="A348" s="53">
        <v>101</v>
      </c>
      <c r="B348" s="79" t="s">
        <v>338</v>
      </c>
      <c r="C348" s="53" t="s">
        <v>278</v>
      </c>
      <c r="D348" s="34" t="s">
        <v>339</v>
      </c>
      <c r="E348" s="53" t="s">
        <v>47</v>
      </c>
      <c r="F348" s="100">
        <v>20</v>
      </c>
      <c r="G348" s="101">
        <v>0</v>
      </c>
      <c r="H348" s="109">
        <f>ROUND((G348*F348),2)</f>
        <v>0</v>
      </c>
    </row>
    <row r="349" spans="1:8" ht="15" customHeight="1">
      <c r="A349" s="41"/>
      <c r="B349" s="128" t="s">
        <v>338</v>
      </c>
      <c r="C349" s="41"/>
      <c r="D349" s="40" t="s">
        <v>343</v>
      </c>
      <c r="E349" s="41"/>
      <c r="F349" s="103"/>
      <c r="G349" s="353"/>
      <c r="H349" s="104"/>
    </row>
    <row r="350" spans="1:8" ht="15" customHeight="1">
      <c r="A350" s="41"/>
      <c r="B350" s="92"/>
      <c r="C350" s="41"/>
      <c r="D350" s="40"/>
      <c r="E350" s="41"/>
      <c r="F350" s="103"/>
      <c r="G350" s="353"/>
      <c r="H350" s="104"/>
    </row>
    <row r="351" spans="1:8" ht="15" customHeight="1">
      <c r="A351" s="53">
        <v>102</v>
      </c>
      <c r="B351" s="79" t="s">
        <v>341</v>
      </c>
      <c r="C351" s="53" t="s">
        <v>278</v>
      </c>
      <c r="D351" s="34" t="s">
        <v>340</v>
      </c>
      <c r="E351" s="53" t="s">
        <v>43</v>
      </c>
      <c r="F351" s="100">
        <f>0.5*12*0.06</f>
        <v>0.36</v>
      </c>
      <c r="G351" s="101">
        <v>0</v>
      </c>
      <c r="H351" s="109">
        <f>ROUND((G351*F351),2)</f>
        <v>0</v>
      </c>
    </row>
    <row r="352" spans="1:8" ht="30" customHeight="1">
      <c r="A352" s="41"/>
      <c r="B352" s="128" t="s">
        <v>341</v>
      </c>
      <c r="C352" s="41"/>
      <c r="D352" s="40" t="s">
        <v>342</v>
      </c>
      <c r="E352" s="41"/>
      <c r="F352" s="103"/>
      <c r="G352" s="353"/>
      <c r="H352" s="104"/>
    </row>
    <row r="353" spans="1:8" ht="15" customHeight="1">
      <c r="A353" s="41"/>
      <c r="B353" s="92"/>
      <c r="C353" s="41"/>
      <c r="D353" s="40"/>
      <c r="E353" s="41"/>
      <c r="F353" s="103"/>
      <c r="G353" s="353"/>
      <c r="H353" s="104"/>
    </row>
    <row r="354" spans="1:8" ht="15" customHeight="1">
      <c r="A354" s="53">
        <v>103</v>
      </c>
      <c r="B354" s="79" t="s">
        <v>332</v>
      </c>
      <c r="C354" s="53" t="s">
        <v>278</v>
      </c>
      <c r="D354" s="34" t="s">
        <v>334</v>
      </c>
      <c r="E354" s="53" t="s">
        <v>43</v>
      </c>
      <c r="F354" s="100">
        <f>0.2*0.6*5</f>
        <v>0.6</v>
      </c>
      <c r="G354" s="101">
        <v>0</v>
      </c>
      <c r="H354" s="109">
        <f>ROUND((G354*F354),2)</f>
        <v>0</v>
      </c>
    </row>
    <row r="355" spans="1:8" ht="15" customHeight="1">
      <c r="A355" s="359"/>
      <c r="B355" s="360" t="s">
        <v>332</v>
      </c>
      <c r="C355" s="358"/>
      <c r="D355" s="359" t="s">
        <v>333</v>
      </c>
      <c r="E355" s="358"/>
      <c r="F355" s="361"/>
      <c r="G355" s="362"/>
      <c r="H355" s="363"/>
    </row>
    <row r="356" spans="1:8" ht="15" customHeight="1">
      <c r="A356" s="359"/>
      <c r="B356" s="360"/>
      <c r="C356" s="358"/>
      <c r="D356" s="359"/>
      <c r="E356" s="358"/>
      <c r="F356" s="361"/>
      <c r="G356" s="362"/>
      <c r="H356" s="363"/>
    </row>
    <row r="357" spans="1:8" ht="15" customHeight="1">
      <c r="A357" s="53">
        <v>104</v>
      </c>
      <c r="B357" s="79" t="s">
        <v>335</v>
      </c>
      <c r="C357" s="53" t="s">
        <v>278</v>
      </c>
      <c r="D357" s="34" t="s">
        <v>336</v>
      </c>
      <c r="E357" s="53" t="s">
        <v>43</v>
      </c>
      <c r="F357" s="100">
        <f>0.7*5.1*0.15</f>
        <v>0.5354999999999999</v>
      </c>
      <c r="G357" s="101">
        <v>0</v>
      </c>
      <c r="H357" s="109">
        <f>ROUND((G357*F357),2)</f>
        <v>0</v>
      </c>
    </row>
    <row r="358" spans="1:8" ht="15" customHeight="1">
      <c r="A358" s="359"/>
      <c r="B358" s="360" t="s">
        <v>335</v>
      </c>
      <c r="C358" s="358"/>
      <c r="D358" s="359" t="s">
        <v>337</v>
      </c>
      <c r="E358" s="358"/>
      <c r="F358" s="361"/>
      <c r="G358" s="362"/>
      <c r="H358" s="363"/>
    </row>
    <row r="359" spans="1:8" ht="15" customHeight="1">
      <c r="A359" s="359"/>
      <c r="B359" s="360"/>
      <c r="C359" s="358"/>
      <c r="D359" s="359"/>
      <c r="E359" s="358"/>
      <c r="F359" s="361"/>
      <c r="G359" s="362"/>
      <c r="H359" s="363"/>
    </row>
    <row r="360" spans="1:8" ht="19.5" customHeight="1">
      <c r="A360" s="80"/>
      <c r="B360" s="81" t="s">
        <v>17</v>
      </c>
      <c r="C360" s="84"/>
      <c r="D360" s="83" t="s">
        <v>16</v>
      </c>
      <c r="E360" s="84"/>
      <c r="F360" s="83"/>
      <c r="G360" s="85"/>
      <c r="H360" s="86">
        <f>SUM(H10+H13+H16+H18+H21+H24+H27+H30+H49+H124)</f>
        <v>0</v>
      </c>
    </row>
    <row r="361" spans="1:8" ht="19.5" customHeight="1">
      <c r="A361" s="87"/>
      <c r="B361" s="81" t="s">
        <v>2</v>
      </c>
      <c r="C361" s="84"/>
      <c r="D361" s="83" t="s">
        <v>26</v>
      </c>
      <c r="E361" s="84"/>
      <c r="F361" s="83"/>
      <c r="G361" s="85"/>
      <c r="H361" s="86">
        <f>SUM(H33+H39+H53+H87+H102+H105+H118+H121+H133+H136+H139+H165+H194+H115)</f>
        <v>0</v>
      </c>
    </row>
    <row r="362" spans="1:8" ht="19.5" customHeight="1">
      <c r="A362" s="87"/>
      <c r="B362" s="81" t="s">
        <v>10</v>
      </c>
      <c r="C362" s="84"/>
      <c r="D362" s="83" t="s">
        <v>27</v>
      </c>
      <c r="E362" s="84"/>
      <c r="F362" s="83"/>
      <c r="G362" s="85"/>
      <c r="H362" s="86">
        <f>SUM(H57+H61+H65+H68+H71+H74+H77+H80+H142+H146+H150+H153+H156+H159+H162+H169+H172+H175+H178+H181+H209+H212+H215+H218+H221+H224+H272+H275)</f>
        <v>0</v>
      </c>
    </row>
    <row r="363" spans="1:8" ht="19.5" customHeight="1">
      <c r="A363" s="87"/>
      <c r="B363" s="81" t="s">
        <v>11</v>
      </c>
      <c r="C363" s="84"/>
      <c r="D363" s="83" t="s">
        <v>39</v>
      </c>
      <c r="E363" s="84"/>
      <c r="F363" s="83"/>
      <c r="G363" s="85"/>
      <c r="H363" s="86">
        <f>H83+H184+H188+H351</f>
        <v>0</v>
      </c>
    </row>
    <row r="364" spans="1:8" ht="19.5" customHeight="1">
      <c r="A364" s="87"/>
      <c r="B364" s="81" t="s">
        <v>12</v>
      </c>
      <c r="C364" s="84"/>
      <c r="D364" s="83" t="s">
        <v>40</v>
      </c>
      <c r="E364" s="84"/>
      <c r="F364" s="83"/>
      <c r="G364" s="85"/>
      <c r="H364" s="86">
        <f>H127+H191+H238+H245+H250+H264+H281+H285+H298+H302+H306+H309+H312+H319+H327+H354+H357+H278</f>
        <v>0</v>
      </c>
    </row>
    <row r="365" spans="1:8" ht="19.5" customHeight="1">
      <c r="A365" s="80"/>
      <c r="B365" s="81" t="s">
        <v>13</v>
      </c>
      <c r="C365" s="84"/>
      <c r="D365" s="83" t="s">
        <v>28</v>
      </c>
      <c r="E365" s="84"/>
      <c r="F365" s="83"/>
      <c r="G365" s="85"/>
      <c r="H365" s="86">
        <f>H109+H241</f>
        <v>0</v>
      </c>
    </row>
    <row r="366" spans="1:8" ht="19.5" customHeight="1">
      <c r="A366" s="87"/>
      <c r="B366" s="81">
        <v>6</v>
      </c>
      <c r="C366" s="84"/>
      <c r="D366" s="83" t="s">
        <v>393</v>
      </c>
      <c r="E366" s="84"/>
      <c r="F366" s="83"/>
      <c r="G366" s="85"/>
      <c r="H366" s="86">
        <v>0</v>
      </c>
    </row>
    <row r="367" spans="1:8" ht="19.5" customHeight="1">
      <c r="A367" s="87"/>
      <c r="B367" s="81">
        <v>7</v>
      </c>
      <c r="C367" s="84"/>
      <c r="D367" s="83" t="s">
        <v>41</v>
      </c>
      <c r="E367" s="84"/>
      <c r="F367" s="83"/>
      <c r="G367" s="85"/>
      <c r="H367" s="86">
        <f>H96+H99+H198+H202+H289+H294+H316+H334+H340+H343</f>
        <v>0</v>
      </c>
    </row>
    <row r="368" spans="1:8" ht="19.5" customHeight="1">
      <c r="A368" s="87"/>
      <c r="B368" s="81">
        <v>8</v>
      </c>
      <c r="C368" s="84"/>
      <c r="D368" s="83" t="s">
        <v>100</v>
      </c>
      <c r="E368" s="84"/>
      <c r="F368" s="83"/>
      <c r="G368" s="85"/>
      <c r="H368" s="86">
        <f>H205+H227+H230+H233+H235+H324</f>
        <v>0</v>
      </c>
    </row>
    <row r="369" spans="1:8" ht="19.5" customHeight="1">
      <c r="A369" s="87"/>
      <c r="B369" s="81" t="s">
        <v>32</v>
      </c>
      <c r="C369" s="84"/>
      <c r="D369" s="83" t="s">
        <v>31</v>
      </c>
      <c r="E369" s="84"/>
      <c r="F369" s="83"/>
      <c r="G369" s="85"/>
      <c r="H369" s="86">
        <f>H36+H42+H46+H90+H93+H254+H260+H268+H331+H337+H346+H348</f>
        <v>0</v>
      </c>
    </row>
    <row r="370" spans="1:6" ht="15" customHeight="1">
      <c r="A370" s="359"/>
      <c r="B370" s="369"/>
      <c r="C370" s="358"/>
      <c r="D370" s="359"/>
      <c r="E370" s="358"/>
      <c r="F370" s="361"/>
    </row>
    <row r="371" spans="1:8" s="395" customFormat="1" ht="24.75" customHeight="1">
      <c r="A371" s="91"/>
      <c r="B371" s="82"/>
      <c r="C371" s="82"/>
      <c r="D371" s="88" t="s">
        <v>34</v>
      </c>
      <c r="E371" s="82"/>
      <c r="F371" s="88"/>
      <c r="G371" s="89"/>
      <c r="H371" s="90">
        <f>IF(SUM(H360:H369)=SUM(H10:H358),SUM(H360:H369),"CHYBA")</f>
        <v>0</v>
      </c>
    </row>
    <row r="372" spans="1:9" ht="23.25" customHeight="1">
      <c r="A372" s="359"/>
      <c r="B372" s="369"/>
      <c r="C372" s="358"/>
      <c r="D372" s="359"/>
      <c r="E372" s="358"/>
      <c r="F372" s="361"/>
      <c r="I372" s="394"/>
    </row>
    <row r="373" spans="1:6" ht="12.75" customHeight="1">
      <c r="A373" s="359"/>
      <c r="B373" s="369"/>
      <c r="C373" s="358"/>
      <c r="D373" s="359"/>
      <c r="E373" s="358"/>
      <c r="F373" s="361"/>
    </row>
    <row r="374" spans="1:6" ht="12.75" customHeight="1">
      <c r="A374" s="359"/>
      <c r="B374" s="369"/>
      <c r="C374" s="358"/>
      <c r="D374" s="359"/>
      <c r="E374" s="358"/>
      <c r="F374" s="361"/>
    </row>
    <row r="375" spans="1:6" ht="12.75" customHeight="1">
      <c r="A375" s="359"/>
      <c r="B375" s="369"/>
      <c r="C375" s="358"/>
      <c r="D375" s="359"/>
      <c r="E375" s="358"/>
      <c r="F375" s="361"/>
    </row>
    <row r="376" spans="1:8" ht="12.75" customHeight="1">
      <c r="A376" s="359"/>
      <c r="B376" s="359"/>
      <c r="C376" s="359"/>
      <c r="D376" s="359"/>
      <c r="E376" s="359"/>
      <c r="F376" s="359"/>
      <c r="G376" s="359"/>
      <c r="H376" s="359"/>
    </row>
    <row r="377" spans="1:8" ht="30" customHeight="1">
      <c r="A377" s="359"/>
      <c r="B377" s="359"/>
      <c r="C377" s="359"/>
      <c r="D377" s="359"/>
      <c r="E377" s="359"/>
      <c r="F377" s="359"/>
      <c r="G377" s="359"/>
      <c r="H377" s="359"/>
    </row>
    <row r="378" spans="1:8" ht="12.75" customHeight="1">
      <c r="A378" s="359"/>
      <c r="B378" s="359"/>
      <c r="C378" s="359"/>
      <c r="D378" s="359"/>
      <c r="E378" s="359"/>
      <c r="F378" s="359"/>
      <c r="G378" s="359"/>
      <c r="H378" s="359"/>
    </row>
    <row r="379" spans="1:8" ht="12.75" customHeight="1">
      <c r="A379" s="359"/>
      <c r="B379" s="359"/>
      <c r="C379" s="359"/>
      <c r="D379" s="359"/>
      <c r="E379" s="359"/>
      <c r="F379" s="359"/>
      <c r="G379" s="359"/>
      <c r="H379" s="359"/>
    </row>
    <row r="380" spans="1:8" ht="30" customHeight="1">
      <c r="A380" s="359"/>
      <c r="B380" s="359"/>
      <c r="C380" s="359"/>
      <c r="D380" s="359"/>
      <c r="E380" s="359"/>
      <c r="F380" s="359"/>
      <c r="G380" s="359"/>
      <c r="H380" s="359"/>
    </row>
    <row r="381" spans="1:8" ht="12.75" customHeight="1">
      <c r="A381" s="359"/>
      <c r="B381" s="359"/>
      <c r="C381" s="359"/>
      <c r="D381" s="359"/>
      <c r="E381" s="359"/>
      <c r="F381" s="359"/>
      <c r="G381" s="359"/>
      <c r="H381" s="359"/>
    </row>
    <row r="382" spans="1:8" ht="12.75" customHeight="1">
      <c r="A382" s="359"/>
      <c r="B382" s="359"/>
      <c r="C382" s="359"/>
      <c r="D382" s="359"/>
      <c r="E382" s="359"/>
      <c r="F382" s="359"/>
      <c r="G382" s="359"/>
      <c r="H382" s="359"/>
    </row>
    <row r="383" spans="1:8" ht="134.25" customHeight="1">
      <c r="A383" s="359"/>
      <c r="B383" s="359"/>
      <c r="C383" s="359"/>
      <c r="D383" s="359"/>
      <c r="E383" s="359"/>
      <c r="F383" s="359"/>
      <c r="G383" s="359"/>
      <c r="H383" s="359"/>
    </row>
    <row r="384" spans="1:8" ht="12.75" customHeight="1">
      <c r="A384" s="41"/>
      <c r="B384" s="128"/>
      <c r="C384" s="41"/>
      <c r="D384" s="40"/>
      <c r="E384" s="358"/>
      <c r="F384" s="390"/>
      <c r="G384" s="362"/>
      <c r="H384" s="111"/>
    </row>
    <row r="385" spans="1:6" ht="12.75" customHeight="1">
      <c r="A385" s="359"/>
      <c r="B385" s="369"/>
      <c r="C385" s="358"/>
      <c r="D385" s="359"/>
      <c r="E385" s="358"/>
      <c r="F385" s="361"/>
    </row>
    <row r="386" spans="1:6" ht="12.75" customHeight="1">
      <c r="A386" s="359"/>
      <c r="B386" s="369"/>
      <c r="C386" s="358"/>
      <c r="D386" s="359"/>
      <c r="E386" s="358"/>
      <c r="F386" s="361"/>
    </row>
    <row r="387" spans="1:6" ht="12.75" customHeight="1">
      <c r="A387" s="359"/>
      <c r="B387" s="369"/>
      <c r="C387" s="358"/>
      <c r="D387" s="359"/>
      <c r="E387" s="358"/>
      <c r="F387" s="361"/>
    </row>
    <row r="388" spans="1:6" ht="12.75" customHeight="1">
      <c r="A388" s="359"/>
      <c r="B388" s="369"/>
      <c r="C388" s="358"/>
      <c r="D388" s="359"/>
      <c r="E388" s="358"/>
      <c r="F388" s="361"/>
    </row>
    <row r="389" spans="1:6" ht="12.75" customHeight="1">
      <c r="A389" s="359"/>
      <c r="B389" s="369"/>
      <c r="C389" s="358"/>
      <c r="D389" s="359"/>
      <c r="E389" s="358"/>
      <c r="F389" s="361"/>
    </row>
    <row r="390" spans="1:6" ht="12.75" customHeight="1">
      <c r="A390" s="359"/>
      <c r="B390" s="369"/>
      <c r="C390" s="358"/>
      <c r="D390" s="359"/>
      <c r="E390" s="358"/>
      <c r="F390" s="361"/>
    </row>
    <row r="391" spans="1:6" ht="12.75" customHeight="1">
      <c r="A391" s="359"/>
      <c r="B391" s="369"/>
      <c r="C391" s="358"/>
      <c r="D391" s="359"/>
      <c r="E391" s="358"/>
      <c r="F391" s="361"/>
    </row>
    <row r="392" spans="1:6" ht="12.75" customHeight="1">
      <c r="A392" s="359"/>
      <c r="B392" s="369"/>
      <c r="C392" s="358"/>
      <c r="D392" s="359"/>
      <c r="E392" s="358"/>
      <c r="F392" s="361"/>
    </row>
    <row r="393" spans="1:6" ht="12.75" customHeight="1">
      <c r="A393" s="359"/>
      <c r="B393" s="369"/>
      <c r="C393" s="358"/>
      <c r="D393" s="359"/>
      <c r="E393" s="358"/>
      <c r="F393" s="361"/>
    </row>
    <row r="394" spans="1:6" ht="12.75" customHeight="1">
      <c r="A394" s="359"/>
      <c r="B394" s="369"/>
      <c r="C394" s="358"/>
      <c r="D394" s="359"/>
      <c r="E394" s="358"/>
      <c r="F394" s="361"/>
    </row>
    <row r="395" spans="1:6" ht="12.75" customHeight="1">
      <c r="A395" s="359"/>
      <c r="B395" s="369"/>
      <c r="C395" s="358"/>
      <c r="D395" s="359"/>
      <c r="E395" s="358"/>
      <c r="F395" s="361"/>
    </row>
    <row r="396" spans="1:6" ht="12.75" customHeight="1">
      <c r="A396" s="359"/>
      <c r="B396" s="369"/>
      <c r="C396" s="358"/>
      <c r="D396" s="359"/>
      <c r="E396" s="358"/>
      <c r="F396" s="361"/>
    </row>
    <row r="397" spans="1:6" ht="12.75" customHeight="1">
      <c r="A397" s="359"/>
      <c r="B397" s="369"/>
      <c r="C397" s="358"/>
      <c r="D397" s="359"/>
      <c r="E397" s="358"/>
      <c r="F397" s="361"/>
    </row>
    <row r="398" spans="1:6" ht="12.75" customHeight="1">
      <c r="A398" s="359"/>
      <c r="B398" s="369"/>
      <c r="C398" s="358"/>
      <c r="D398" s="359"/>
      <c r="E398" s="358"/>
      <c r="F398" s="361"/>
    </row>
    <row r="399" spans="1:6" ht="12.75" customHeight="1">
      <c r="A399" s="359"/>
      <c r="B399" s="369"/>
      <c r="C399" s="358"/>
      <c r="D399" s="359"/>
      <c r="E399" s="358"/>
      <c r="F399" s="361"/>
    </row>
    <row r="400" spans="1:6" ht="12.75" customHeight="1">
      <c r="A400" s="359"/>
      <c r="B400" s="369"/>
      <c r="C400" s="358"/>
      <c r="D400" s="359"/>
      <c r="E400" s="358"/>
      <c r="F400" s="361"/>
    </row>
    <row r="401" spans="1:6" ht="12.75" customHeight="1">
      <c r="A401" s="359"/>
      <c r="B401" s="369"/>
      <c r="C401" s="358"/>
      <c r="D401" s="359"/>
      <c r="E401" s="358"/>
      <c r="F401" s="361"/>
    </row>
    <row r="402" spans="1:6" ht="12.75" customHeight="1">
      <c r="A402" s="359"/>
      <c r="B402" s="369"/>
      <c r="C402" s="358"/>
      <c r="D402" s="359"/>
      <c r="E402" s="358"/>
      <c r="F402" s="361"/>
    </row>
    <row r="403" spans="1:6" ht="12.75" customHeight="1">
      <c r="A403" s="359"/>
      <c r="B403" s="369"/>
      <c r="C403" s="358"/>
      <c r="D403" s="359"/>
      <c r="E403" s="358"/>
      <c r="F403" s="361"/>
    </row>
    <row r="404" spans="1:6" ht="12.75" customHeight="1">
      <c r="A404" s="359"/>
      <c r="B404" s="369"/>
      <c r="C404" s="358"/>
      <c r="D404" s="359"/>
      <c r="E404" s="358"/>
      <c r="F404" s="361"/>
    </row>
    <row r="405" spans="1:6" ht="12.75" customHeight="1">
      <c r="A405" s="359"/>
      <c r="B405" s="369"/>
      <c r="C405" s="358"/>
      <c r="D405" s="359"/>
      <c r="E405" s="358"/>
      <c r="F405" s="361"/>
    </row>
    <row r="406" spans="1:6" ht="12.75" customHeight="1">
      <c r="A406" s="359"/>
      <c r="B406" s="369"/>
      <c r="C406" s="358"/>
      <c r="D406" s="359"/>
      <c r="E406" s="358"/>
      <c r="F406" s="361"/>
    </row>
    <row r="407" spans="1:6" ht="12.75" customHeight="1">
      <c r="A407" s="359"/>
      <c r="B407" s="369"/>
      <c r="C407" s="358"/>
      <c r="D407" s="359"/>
      <c r="E407" s="358"/>
      <c r="F407" s="361"/>
    </row>
    <row r="408" spans="1:6" ht="12.75" customHeight="1">
      <c r="A408" s="359"/>
      <c r="B408" s="369"/>
      <c r="C408" s="358"/>
      <c r="D408" s="359"/>
      <c r="E408" s="358"/>
      <c r="F408" s="361"/>
    </row>
    <row r="409" spans="1:6" ht="12.75" customHeight="1">
      <c r="A409" s="359"/>
      <c r="B409" s="369"/>
      <c r="C409" s="358"/>
      <c r="D409" s="359"/>
      <c r="E409" s="358"/>
      <c r="F409" s="361"/>
    </row>
    <row r="410" spans="1:6" ht="12.75" customHeight="1">
      <c r="A410" s="359"/>
      <c r="B410" s="369"/>
      <c r="C410" s="358"/>
      <c r="D410" s="359"/>
      <c r="E410" s="358"/>
      <c r="F410" s="361"/>
    </row>
    <row r="411" spans="1:6" ht="12.75" customHeight="1">
      <c r="A411" s="359"/>
      <c r="B411" s="369"/>
      <c r="C411" s="358"/>
      <c r="D411" s="359"/>
      <c r="E411" s="358"/>
      <c r="F411" s="361"/>
    </row>
    <row r="412" spans="1:6" ht="12.75" customHeight="1">
      <c r="A412" s="359"/>
      <c r="B412" s="369"/>
      <c r="C412" s="358"/>
      <c r="D412" s="359"/>
      <c r="E412" s="358"/>
      <c r="F412" s="361"/>
    </row>
    <row r="413" spans="1:6" ht="12.75" customHeight="1">
      <c r="A413" s="359"/>
      <c r="B413" s="369"/>
      <c r="C413" s="358"/>
      <c r="D413" s="359"/>
      <c r="E413" s="358"/>
      <c r="F413" s="361"/>
    </row>
    <row r="414" spans="1:6" ht="12.75" customHeight="1">
      <c r="A414" s="359"/>
      <c r="B414" s="369"/>
      <c r="C414" s="358"/>
      <c r="D414" s="359"/>
      <c r="E414" s="358"/>
      <c r="F414" s="361"/>
    </row>
    <row r="415" spans="1:6" ht="12.75" customHeight="1">
      <c r="A415" s="359"/>
      <c r="B415" s="369"/>
      <c r="C415" s="358"/>
      <c r="D415" s="359"/>
      <c r="E415" s="358"/>
      <c r="F415" s="361"/>
    </row>
    <row r="416" spans="1:6" ht="12.75" customHeight="1">
      <c r="A416" s="359"/>
      <c r="B416" s="369"/>
      <c r="C416" s="358"/>
      <c r="D416" s="359"/>
      <c r="E416" s="358"/>
      <c r="F416" s="361"/>
    </row>
    <row r="417" spans="1:6" ht="12.75" customHeight="1">
      <c r="A417" s="359"/>
      <c r="B417" s="369"/>
      <c r="C417" s="358"/>
      <c r="D417" s="359"/>
      <c r="E417" s="358"/>
      <c r="F417" s="361"/>
    </row>
    <row r="418" spans="1:6" ht="12.75" customHeight="1">
      <c r="A418" s="359"/>
      <c r="B418" s="369"/>
      <c r="C418" s="358"/>
      <c r="D418" s="359"/>
      <c r="E418" s="358"/>
      <c r="F418" s="361"/>
    </row>
    <row r="419" spans="1:6" ht="12.75" customHeight="1">
      <c r="A419" s="359"/>
      <c r="B419" s="369"/>
      <c r="C419" s="358"/>
      <c r="D419" s="359"/>
      <c r="E419" s="358"/>
      <c r="F419" s="361"/>
    </row>
    <row r="420" spans="1:6" ht="12.75" customHeight="1">
      <c r="A420" s="359"/>
      <c r="B420" s="369"/>
      <c r="C420" s="358"/>
      <c r="D420" s="359"/>
      <c r="E420" s="358"/>
      <c r="F420" s="361"/>
    </row>
    <row r="421" spans="1:6" ht="12.75" customHeight="1">
      <c r="A421" s="359"/>
      <c r="B421" s="369"/>
      <c r="C421" s="358"/>
      <c r="D421" s="359"/>
      <c r="E421" s="358"/>
      <c r="F421" s="361"/>
    </row>
    <row r="422" spans="1:6" ht="12.75" customHeight="1">
      <c r="A422" s="359"/>
      <c r="B422" s="369"/>
      <c r="C422" s="358"/>
      <c r="D422" s="359"/>
      <c r="E422" s="358"/>
      <c r="F422" s="361"/>
    </row>
    <row r="423" spans="1:6" ht="12.75" customHeight="1">
      <c r="A423" s="359"/>
      <c r="B423" s="369"/>
      <c r="C423" s="358"/>
      <c r="D423" s="359"/>
      <c r="E423" s="358"/>
      <c r="F423" s="361"/>
    </row>
    <row r="424" spans="1:6" ht="12.75" customHeight="1">
      <c r="A424" s="359"/>
      <c r="B424" s="369"/>
      <c r="C424" s="358"/>
      <c r="D424" s="359"/>
      <c r="E424" s="358"/>
      <c r="F424" s="361"/>
    </row>
    <row r="425" spans="1:6" ht="12.75" customHeight="1">
      <c r="A425" s="359"/>
      <c r="B425" s="369"/>
      <c r="C425" s="358"/>
      <c r="D425" s="359"/>
      <c r="E425" s="358"/>
      <c r="F425" s="361"/>
    </row>
    <row r="426" spans="1:6" ht="12.75" customHeight="1">
      <c r="A426" s="359"/>
      <c r="B426" s="369"/>
      <c r="C426" s="358"/>
      <c r="D426" s="359"/>
      <c r="E426" s="358"/>
      <c r="F426" s="361"/>
    </row>
    <row r="427" spans="1:6" ht="12.75" customHeight="1">
      <c r="A427" s="359"/>
      <c r="B427" s="369"/>
      <c r="C427" s="358"/>
      <c r="D427" s="359"/>
      <c r="E427" s="358"/>
      <c r="F427" s="361"/>
    </row>
    <row r="428" spans="1:6" ht="12.75" customHeight="1">
      <c r="A428" s="359"/>
      <c r="B428" s="369"/>
      <c r="C428" s="358"/>
      <c r="D428" s="359"/>
      <c r="E428" s="358"/>
      <c r="F428" s="361"/>
    </row>
    <row r="429" spans="1:6" ht="12.75" customHeight="1">
      <c r="A429" s="359"/>
      <c r="B429" s="369"/>
      <c r="C429" s="358"/>
      <c r="D429" s="359"/>
      <c r="E429" s="358"/>
      <c r="F429" s="361"/>
    </row>
    <row r="430" spans="1:6" ht="12.75" customHeight="1">
      <c r="A430" s="359"/>
      <c r="B430" s="369"/>
      <c r="C430" s="358"/>
      <c r="D430" s="359"/>
      <c r="E430" s="358"/>
      <c r="F430" s="361"/>
    </row>
    <row r="431" spans="1:6" ht="12.75" customHeight="1">
      <c r="A431" s="359"/>
      <c r="B431" s="369"/>
      <c r="C431" s="358"/>
      <c r="D431" s="359"/>
      <c r="E431" s="358"/>
      <c r="F431" s="361"/>
    </row>
    <row r="432" spans="1:6" ht="12.75" customHeight="1">
      <c r="A432" s="359"/>
      <c r="B432" s="369"/>
      <c r="C432" s="358"/>
      <c r="D432" s="359"/>
      <c r="E432" s="358"/>
      <c r="F432" s="361"/>
    </row>
    <row r="433" spans="1:6" ht="12.75" customHeight="1">
      <c r="A433" s="359"/>
      <c r="B433" s="369"/>
      <c r="C433" s="358"/>
      <c r="D433" s="359"/>
      <c r="E433" s="358"/>
      <c r="F433" s="361"/>
    </row>
    <row r="434" spans="1:6" ht="12.75" customHeight="1">
      <c r="A434" s="359"/>
      <c r="B434" s="369"/>
      <c r="C434" s="358"/>
      <c r="D434" s="359"/>
      <c r="E434" s="358"/>
      <c r="F434" s="361"/>
    </row>
    <row r="435" spans="1:6" ht="12.75" customHeight="1">
      <c r="A435" s="359"/>
      <c r="B435" s="369"/>
      <c r="C435" s="358"/>
      <c r="D435" s="359"/>
      <c r="E435" s="358"/>
      <c r="F435" s="361"/>
    </row>
    <row r="436" spans="1:6" ht="12.75" customHeight="1">
      <c r="A436" s="359"/>
      <c r="B436" s="369"/>
      <c r="C436" s="358"/>
      <c r="D436" s="359"/>
      <c r="E436" s="358"/>
      <c r="F436" s="361"/>
    </row>
    <row r="437" spans="1:6" ht="12.75" customHeight="1">
      <c r="A437" s="359"/>
      <c r="B437" s="369"/>
      <c r="C437" s="358"/>
      <c r="D437" s="359"/>
      <c r="E437" s="358"/>
      <c r="F437" s="361"/>
    </row>
    <row r="438" spans="1:6" ht="12.75" customHeight="1">
      <c r="A438" s="359"/>
      <c r="B438" s="369"/>
      <c r="C438" s="358"/>
      <c r="D438" s="359"/>
      <c r="E438" s="358"/>
      <c r="F438" s="361"/>
    </row>
    <row r="439" spans="1:6" ht="12.75" customHeight="1">
      <c r="A439" s="359"/>
      <c r="B439" s="369"/>
      <c r="C439" s="358"/>
      <c r="D439" s="359"/>
      <c r="E439" s="358"/>
      <c r="F439" s="361"/>
    </row>
    <row r="440" spans="1:6" ht="12.75" customHeight="1">
      <c r="A440" s="359"/>
      <c r="B440" s="369"/>
      <c r="C440" s="358"/>
      <c r="D440" s="359"/>
      <c r="E440" s="358"/>
      <c r="F440" s="361"/>
    </row>
    <row r="441" spans="1:6" ht="12.75" customHeight="1">
      <c r="A441" s="359"/>
      <c r="B441" s="369"/>
      <c r="C441" s="358"/>
      <c r="D441" s="359"/>
      <c r="E441" s="358"/>
      <c r="F441" s="361"/>
    </row>
    <row r="442" spans="1:6" ht="12.75" customHeight="1">
      <c r="A442" s="359"/>
      <c r="B442" s="369"/>
      <c r="C442" s="358"/>
      <c r="D442" s="359"/>
      <c r="E442" s="358"/>
      <c r="F442" s="361"/>
    </row>
    <row r="443" spans="1:6" ht="12.75" customHeight="1">
      <c r="A443" s="359"/>
      <c r="B443" s="369"/>
      <c r="C443" s="358"/>
      <c r="D443" s="359"/>
      <c r="E443" s="358"/>
      <c r="F443" s="361"/>
    </row>
    <row r="444" spans="1:6" ht="12.75" customHeight="1">
      <c r="A444" s="359"/>
      <c r="B444" s="369"/>
      <c r="C444" s="358"/>
      <c r="D444" s="359"/>
      <c r="E444" s="358"/>
      <c r="F444" s="361"/>
    </row>
    <row r="445" spans="1:6" ht="12.75" customHeight="1">
      <c r="A445" s="359"/>
      <c r="B445" s="369"/>
      <c r="C445" s="358"/>
      <c r="D445" s="359"/>
      <c r="E445" s="358"/>
      <c r="F445" s="361"/>
    </row>
    <row r="446" spans="1:6" ht="12.75" customHeight="1">
      <c r="A446" s="359"/>
      <c r="B446" s="369"/>
      <c r="C446" s="358"/>
      <c r="D446" s="359"/>
      <c r="E446" s="358"/>
      <c r="F446" s="361"/>
    </row>
    <row r="447" spans="1:6" ht="12.75" customHeight="1">
      <c r="A447" s="359"/>
      <c r="B447" s="369"/>
      <c r="C447" s="358"/>
      <c r="D447" s="359"/>
      <c r="E447" s="358"/>
      <c r="F447" s="361"/>
    </row>
    <row r="448" spans="1:6" ht="12.75" customHeight="1">
      <c r="A448" s="359"/>
      <c r="B448" s="369"/>
      <c r="C448" s="358"/>
      <c r="D448" s="359"/>
      <c r="E448" s="358"/>
      <c r="F448" s="361"/>
    </row>
    <row r="449" spans="1:6" ht="12.75" customHeight="1">
      <c r="A449" s="359"/>
      <c r="B449" s="369"/>
      <c r="C449" s="358"/>
      <c r="D449" s="359"/>
      <c r="E449" s="358"/>
      <c r="F449" s="361"/>
    </row>
    <row r="450" spans="1:6" ht="12.75" customHeight="1">
      <c r="A450" s="359"/>
      <c r="B450" s="369"/>
      <c r="C450" s="358"/>
      <c r="D450" s="359"/>
      <c r="E450" s="358"/>
      <c r="F450" s="361"/>
    </row>
    <row r="451" spans="1:6" ht="12.75" customHeight="1">
      <c r="A451" s="359"/>
      <c r="B451" s="369"/>
      <c r="C451" s="358"/>
      <c r="D451" s="359"/>
      <c r="E451" s="358"/>
      <c r="F451" s="361"/>
    </row>
    <row r="452" spans="1:6" ht="12.75" customHeight="1">
      <c r="A452" s="359"/>
      <c r="B452" s="369"/>
      <c r="C452" s="358"/>
      <c r="D452" s="359"/>
      <c r="E452" s="358"/>
      <c r="F452" s="361"/>
    </row>
    <row r="453" spans="1:6" ht="12.75" customHeight="1">
      <c r="A453" s="359"/>
      <c r="B453" s="369"/>
      <c r="C453" s="358"/>
      <c r="D453" s="359"/>
      <c r="E453" s="358"/>
      <c r="F453" s="361"/>
    </row>
  </sheetData>
  <sheetProtection sheet="1" objects="1" scenarios="1" selectLockedCells="1"/>
  <protectedRanges>
    <protectedRange sqref="A199:D201 A198:B198 D198 A202:B202 D202 A203:D203" name="Oblast3_11"/>
    <protectedRange sqref="E198:F203" name="Oblast3_4_16"/>
  </protectedRanges>
  <autoFilter ref="A1:B455"/>
  <mergeCells count="6">
    <mergeCell ref="A6:A7"/>
    <mergeCell ref="B6:B7"/>
    <mergeCell ref="C6:C7"/>
    <mergeCell ref="D6:D7"/>
    <mergeCell ref="E6:E7"/>
    <mergeCell ref="F6:F7"/>
  </mergeCells>
  <printOptions/>
  <pageMargins left="0.3937007874015748" right="0.3937007874015748" top="0.7874015748031497" bottom="0.7874015748031497" header="0.3937007874015748" footer="0.3937007874015748"/>
  <pageSetup fitToHeight="0" fitToWidth="1" horizontalDpi="1200" verticalDpi="1200" orientation="landscape" paperSize="9" scale="85" r:id="rId1"/>
  <headerFooter alignWithMargins="0">
    <oddFooter>&amp;C&amp;A
&amp;P/&amp;N</oddFooter>
  </headerFooter>
  <ignoredErrors>
    <ignoredError sqref="A8:H8 C359 B360:B369 B15:B105 B281:B291 B265:B270 B107:B236 B240:B243 B293:B355 B9:B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zoomScale="85" zoomScaleNormal="85" zoomScalePageLayoutView="0" workbookViewId="0" topLeftCell="A1">
      <pane ySplit="7" topLeftCell="A8" activePane="bottomLeft" state="frozen"/>
      <selection pane="topLeft" activeCell="B19" sqref="B19"/>
      <selection pane="bottomLeft" activeCell="G37" sqref="G37"/>
    </sheetView>
  </sheetViews>
  <sheetFormatPr defaultColWidth="9.140625" defaultRowHeight="12.75" customHeight="1"/>
  <cols>
    <col min="1" max="1" width="6.7109375" style="338" customWidth="1"/>
    <col min="2" max="2" width="12.7109375" style="338" customWidth="1"/>
    <col min="3" max="3" width="17.7109375" style="340" customWidth="1"/>
    <col min="4" max="4" width="75.7109375" style="340" customWidth="1"/>
    <col min="5" max="5" width="10.7109375" style="338" customWidth="1"/>
    <col min="6" max="6" width="10.7109375" style="340" customWidth="1"/>
    <col min="7" max="7" width="15.7109375" style="339" customWidth="1"/>
    <col min="8" max="8" width="15.7109375" style="340" customWidth="1"/>
    <col min="9" max="9" width="13.28125" style="340" customWidth="1"/>
    <col min="10" max="12" width="9.140625" style="340" customWidth="1"/>
    <col min="13" max="14" width="9.140625" style="340" hidden="1" customWidth="1"/>
    <col min="15" max="16384" width="9.140625" style="340" customWidth="1"/>
  </cols>
  <sheetData>
    <row r="1" ht="12.75" customHeight="1">
      <c r="A1" s="1"/>
    </row>
    <row r="2" spans="1:5" ht="24.75" customHeight="1">
      <c r="A2" s="342" t="s">
        <v>92</v>
      </c>
      <c r="C2" s="5"/>
      <c r="D2" s="5"/>
      <c r="E2" s="1"/>
    </row>
    <row r="3" spans="1:5" ht="24.75" customHeight="1">
      <c r="A3" s="342" t="s">
        <v>419</v>
      </c>
      <c r="C3" s="5"/>
      <c r="D3" s="5"/>
      <c r="E3" s="1"/>
    </row>
    <row r="4" spans="1:5" ht="24.75" customHeight="1">
      <c r="A4" s="342" t="s">
        <v>422</v>
      </c>
      <c r="C4" s="5"/>
      <c r="D4" s="5"/>
      <c r="E4" s="1"/>
    </row>
    <row r="5" spans="1:14" ht="35.25" customHeight="1">
      <c r="A5" s="416" t="s">
        <v>1</v>
      </c>
      <c r="B5" s="412" t="s">
        <v>3</v>
      </c>
      <c r="C5" s="416" t="s">
        <v>253</v>
      </c>
      <c r="D5" s="416" t="s">
        <v>4</v>
      </c>
      <c r="E5" s="416" t="s">
        <v>5</v>
      </c>
      <c r="F5" s="419" t="s">
        <v>6</v>
      </c>
      <c r="G5" s="19" t="s">
        <v>254</v>
      </c>
      <c r="H5" s="67" t="s">
        <v>255</v>
      </c>
      <c r="M5" s="340" t="s">
        <v>9</v>
      </c>
      <c r="N5" s="340" t="s">
        <v>0</v>
      </c>
    </row>
    <row r="6" spans="1:13" ht="14.25">
      <c r="A6" s="417"/>
      <c r="B6" s="418"/>
      <c r="C6" s="417"/>
      <c r="D6" s="417"/>
      <c r="E6" s="417"/>
      <c r="F6" s="420"/>
      <c r="G6" s="44" t="s">
        <v>7</v>
      </c>
      <c r="H6" s="68" t="s">
        <v>8</v>
      </c>
      <c r="M6" s="340" t="s">
        <v>0</v>
      </c>
    </row>
    <row r="7" spans="1:8" ht="15.75" thickBot="1">
      <c r="A7" s="59" t="s">
        <v>2</v>
      </c>
      <c r="B7" s="60" t="s">
        <v>10</v>
      </c>
      <c r="C7" s="59" t="s">
        <v>11</v>
      </c>
      <c r="D7" s="59" t="s">
        <v>12</v>
      </c>
      <c r="E7" s="59" t="s">
        <v>13</v>
      </c>
      <c r="F7" s="59">
        <v>6</v>
      </c>
      <c r="G7" s="61" t="s">
        <v>14</v>
      </c>
      <c r="H7" s="62" t="s">
        <v>15</v>
      </c>
    </row>
    <row r="8" spans="1:8" ht="15" thickTop="1">
      <c r="A8" s="33"/>
      <c r="B8" s="33"/>
      <c r="C8" s="33"/>
      <c r="D8" s="33"/>
      <c r="E8" s="33"/>
      <c r="F8" s="33"/>
      <c r="G8" s="49"/>
      <c r="H8" s="33"/>
    </row>
    <row r="9" spans="1:8" ht="12.75" customHeight="1">
      <c r="A9" s="76"/>
      <c r="B9" s="76"/>
      <c r="C9" s="7" t="s">
        <v>17</v>
      </c>
      <c r="D9" s="7" t="s">
        <v>16</v>
      </c>
      <c r="E9" s="76"/>
      <c r="F9" s="7"/>
      <c r="G9" s="45"/>
      <c r="H9" s="7"/>
    </row>
    <row r="10" spans="1:14" ht="15" customHeight="1">
      <c r="A10" s="53">
        <v>1</v>
      </c>
      <c r="B10" s="53" t="s">
        <v>35</v>
      </c>
      <c r="C10" s="53" t="s">
        <v>278</v>
      </c>
      <c r="D10" s="34" t="s">
        <v>401</v>
      </c>
      <c r="E10" s="53" t="s">
        <v>23</v>
      </c>
      <c r="F10" s="13">
        <v>1</v>
      </c>
      <c r="G10" s="46">
        <v>0</v>
      </c>
      <c r="H10" s="14">
        <f>ROUND((G10*F10),2)</f>
        <v>0</v>
      </c>
      <c r="M10" s="340" t="e">
        <f>REKAPITULACE!#REF!</f>
        <v>#REF!</v>
      </c>
      <c r="N10" s="340" t="e">
        <f>ROUND(M10/100*H10,2)</f>
        <v>#REF!</v>
      </c>
    </row>
    <row r="11" spans="1:8" ht="30" customHeight="1">
      <c r="A11" s="41"/>
      <c r="B11" s="41"/>
      <c r="C11" s="22"/>
      <c r="D11" s="40" t="s">
        <v>402</v>
      </c>
      <c r="E11" s="41"/>
      <c r="F11" s="23"/>
      <c r="G11" s="337"/>
      <c r="H11" s="24"/>
    </row>
    <row r="12" spans="1:8" ht="15" customHeight="1">
      <c r="A12" s="41"/>
      <c r="B12" s="41"/>
      <c r="C12" s="22"/>
      <c r="D12" s="40"/>
      <c r="E12" s="41"/>
      <c r="F12" s="23"/>
      <c r="G12" s="337"/>
      <c r="H12" s="24"/>
    </row>
    <row r="13" spans="1:14" ht="12.75">
      <c r="A13" s="53">
        <v>2</v>
      </c>
      <c r="B13" s="53" t="s">
        <v>36</v>
      </c>
      <c r="C13" s="53" t="s">
        <v>278</v>
      </c>
      <c r="D13" s="12" t="s">
        <v>18</v>
      </c>
      <c r="E13" s="53" t="s">
        <v>20</v>
      </c>
      <c r="F13" s="13">
        <f>F40*2.5+F43*2.5</f>
        <v>112.61</v>
      </c>
      <c r="G13" s="46">
        <v>0</v>
      </c>
      <c r="H13" s="14">
        <f>ROUND((G13*F13),2)</f>
        <v>0</v>
      </c>
      <c r="M13" s="340" t="e">
        <f>REKAPITULACE!#REF!</f>
        <v>#REF!</v>
      </c>
      <c r="N13" s="340" t="e">
        <f>ROUND(M13/100*H13,2)</f>
        <v>#REF!</v>
      </c>
    </row>
    <row r="14" spans="1:8" ht="12.75">
      <c r="A14" s="358"/>
      <c r="B14" s="358"/>
      <c r="C14" s="359"/>
      <c r="D14" s="15" t="s">
        <v>158</v>
      </c>
      <c r="E14" s="358"/>
      <c r="F14" s="359"/>
      <c r="G14" s="337"/>
      <c r="H14" s="359"/>
    </row>
    <row r="15" spans="1:8" ht="12.75">
      <c r="A15" s="358"/>
      <c r="B15" s="358"/>
      <c r="C15" s="359"/>
      <c r="D15" s="15"/>
      <c r="E15" s="358"/>
      <c r="F15" s="359"/>
      <c r="G15" s="337"/>
      <c r="H15" s="359"/>
    </row>
    <row r="16" spans="1:14" ht="12.75">
      <c r="A16" s="53">
        <v>3</v>
      </c>
      <c r="B16" s="53" t="s">
        <v>21</v>
      </c>
      <c r="C16" s="53" t="s">
        <v>278</v>
      </c>
      <c r="D16" s="12" t="s">
        <v>22</v>
      </c>
      <c r="E16" s="53" t="s">
        <v>23</v>
      </c>
      <c r="F16" s="13">
        <v>1</v>
      </c>
      <c r="G16" s="46">
        <v>0</v>
      </c>
      <c r="H16" s="14">
        <f>ROUND((G16*F16),2)</f>
        <v>0</v>
      </c>
      <c r="M16" s="340" t="e">
        <f>REKAPITULACE!#REF!</f>
        <v>#REF!</v>
      </c>
      <c r="N16" s="340" t="e">
        <f>ROUND(M16/100*H16,2)</f>
        <v>#REF!</v>
      </c>
    </row>
    <row r="17" spans="1:8" ht="12.75">
      <c r="A17" s="41"/>
      <c r="B17" s="41"/>
      <c r="C17" s="22"/>
      <c r="D17" s="22" t="s">
        <v>653</v>
      </c>
      <c r="E17" s="41"/>
      <c r="F17" s="23"/>
      <c r="G17" s="337"/>
      <c r="H17" s="24"/>
    </row>
    <row r="18" spans="1:8" ht="12.75">
      <c r="A18" s="41"/>
      <c r="B18" s="41"/>
      <c r="C18" s="22"/>
      <c r="D18" s="22"/>
      <c r="E18" s="41"/>
      <c r="F18" s="23"/>
      <c r="G18" s="337"/>
      <c r="H18" s="24"/>
    </row>
    <row r="19" spans="1:14" ht="12.75">
      <c r="A19" s="53">
        <v>4</v>
      </c>
      <c r="B19" s="53" t="s">
        <v>24</v>
      </c>
      <c r="C19" s="53" t="s">
        <v>278</v>
      </c>
      <c r="D19" s="12" t="s">
        <v>25</v>
      </c>
      <c r="E19" s="53" t="s">
        <v>23</v>
      </c>
      <c r="F19" s="13">
        <v>1</v>
      </c>
      <c r="G19" s="46">
        <v>0</v>
      </c>
      <c r="H19" s="14">
        <f>ROUND((G19*F19),2)</f>
        <v>0</v>
      </c>
      <c r="M19" s="340" t="e">
        <f>REKAPITULACE!#REF!</f>
        <v>#REF!</v>
      </c>
      <c r="N19" s="340" t="e">
        <f>ROUND(M19/100*H19,2)</f>
        <v>#REF!</v>
      </c>
    </row>
    <row r="20" spans="1:8" ht="15" customHeight="1">
      <c r="A20" s="41"/>
      <c r="B20" s="41"/>
      <c r="C20" s="22"/>
      <c r="D20" s="22" t="s">
        <v>654</v>
      </c>
      <c r="E20" s="41"/>
      <c r="F20" s="23"/>
      <c r="G20" s="337"/>
      <c r="H20" s="24"/>
    </row>
    <row r="21" spans="1:8" ht="12.75">
      <c r="A21" s="41"/>
      <c r="B21" s="41"/>
      <c r="C21" s="22"/>
      <c r="D21" s="22"/>
      <c r="E21" s="41"/>
      <c r="F21" s="23"/>
      <c r="G21" s="337"/>
      <c r="H21" s="24"/>
    </row>
    <row r="22" spans="1:8" ht="12.75" customHeight="1">
      <c r="A22" s="58"/>
      <c r="B22" s="58"/>
      <c r="C22" s="10" t="s">
        <v>17</v>
      </c>
      <c r="D22" s="10" t="s">
        <v>16</v>
      </c>
      <c r="E22" s="58"/>
      <c r="F22" s="10"/>
      <c r="G22" s="47"/>
      <c r="H22" s="10">
        <f>SUM(H10:H19)</f>
        <v>0</v>
      </c>
    </row>
    <row r="24" spans="1:14" ht="12.75">
      <c r="A24" s="76"/>
      <c r="B24" s="76"/>
      <c r="C24" s="7" t="s">
        <v>2</v>
      </c>
      <c r="D24" s="7" t="s">
        <v>26</v>
      </c>
      <c r="E24" s="76"/>
      <c r="F24" s="8"/>
      <c r="G24" s="45"/>
      <c r="H24" s="8"/>
      <c r="M24" s="340" t="e">
        <f>REKAPITULACE!#REF!</f>
        <v>#REF!</v>
      </c>
      <c r="N24" s="340" t="e">
        <f>ROUND(M24/100*H25,2)</f>
        <v>#REF!</v>
      </c>
    </row>
    <row r="25" spans="1:8" ht="12.75">
      <c r="A25" s="53">
        <v>5</v>
      </c>
      <c r="B25" s="53" t="s">
        <v>38</v>
      </c>
      <c r="C25" s="53" t="s">
        <v>278</v>
      </c>
      <c r="D25" s="12" t="s">
        <v>237</v>
      </c>
      <c r="E25" s="53" t="s">
        <v>19</v>
      </c>
      <c r="F25" s="13">
        <f>1.2*1.45*3.5*6</f>
        <v>36.54</v>
      </c>
      <c r="G25" s="46">
        <v>0</v>
      </c>
      <c r="H25" s="14">
        <f>ROUND((G25*F25),2)</f>
        <v>0</v>
      </c>
    </row>
    <row r="26" spans="1:14" ht="12.75" customHeight="1">
      <c r="A26" s="77"/>
      <c r="B26" s="77"/>
      <c r="C26" s="28"/>
      <c r="D26" s="28" t="s">
        <v>407</v>
      </c>
      <c r="E26" s="77"/>
      <c r="F26" s="29"/>
      <c r="G26" s="341"/>
      <c r="H26" s="26"/>
      <c r="N26" s="340" t="e">
        <f>SUM(N24:N25)</f>
        <v>#REF!</v>
      </c>
    </row>
    <row r="27" spans="1:8" ht="12.75" customHeight="1">
      <c r="A27" s="41"/>
      <c r="B27" s="41"/>
      <c r="C27" s="22"/>
      <c r="D27" s="22"/>
      <c r="E27" s="41"/>
      <c r="F27" s="23"/>
      <c r="G27" s="337"/>
      <c r="H27" s="24"/>
    </row>
    <row r="28" spans="1:8" ht="12.75" customHeight="1">
      <c r="A28" s="58"/>
      <c r="B28" s="58"/>
      <c r="C28" s="10" t="s">
        <v>2</v>
      </c>
      <c r="D28" s="10" t="s">
        <v>26</v>
      </c>
      <c r="E28" s="58"/>
      <c r="F28" s="10"/>
      <c r="G28" s="47"/>
      <c r="H28" s="10">
        <f>SUM(H25)</f>
        <v>0</v>
      </c>
    </row>
    <row r="30" spans="1:8" ht="12.75">
      <c r="A30" s="76"/>
      <c r="B30" s="76"/>
      <c r="C30" s="7" t="s">
        <v>32</v>
      </c>
      <c r="D30" s="7" t="s">
        <v>31</v>
      </c>
      <c r="E30" s="76"/>
      <c r="F30" s="7"/>
      <c r="G30" s="45"/>
      <c r="H30" s="7"/>
    </row>
    <row r="31" spans="1:8" ht="12.75">
      <c r="A31" s="53">
        <v>6</v>
      </c>
      <c r="B31" s="53">
        <v>919155</v>
      </c>
      <c r="C31" s="53" t="s">
        <v>278</v>
      </c>
      <c r="D31" s="12" t="s">
        <v>408</v>
      </c>
      <c r="E31" s="53" t="s">
        <v>33</v>
      </c>
      <c r="F31" s="13">
        <v>12</v>
      </c>
      <c r="G31" s="46">
        <v>0</v>
      </c>
      <c r="H31" s="14">
        <f>ROUND((G31*F31),2)</f>
        <v>0</v>
      </c>
    </row>
    <row r="32" ht="15" customHeight="1">
      <c r="D32" s="15" t="s">
        <v>409</v>
      </c>
    </row>
    <row r="33" ht="15" customHeight="1">
      <c r="D33" s="15"/>
    </row>
    <row r="34" spans="1:8" ht="15" customHeight="1">
      <c r="A34" s="53">
        <v>7</v>
      </c>
      <c r="B34" s="53">
        <v>96617</v>
      </c>
      <c r="C34" s="53" t="s">
        <v>278</v>
      </c>
      <c r="D34" s="12" t="s">
        <v>410</v>
      </c>
      <c r="E34" s="53" t="s">
        <v>43</v>
      </c>
      <c r="F34" s="13">
        <f>73*0.1*0.14*2.27+4*37*1.16*0.14*0.04+0.1*0.14*(12+20+20+15)*4+0.04*2.27*(12+20+20+15)</f>
        <v>13.116948000000002</v>
      </c>
      <c r="G34" s="46">
        <v>0</v>
      </c>
      <c r="H34" s="14">
        <f>ROUND((G34*F34),2)</f>
        <v>0</v>
      </c>
    </row>
    <row r="35" spans="1:8" ht="75" customHeight="1">
      <c r="A35" s="41"/>
      <c r="B35" s="41"/>
      <c r="C35" s="22"/>
      <c r="D35" s="22" t="s">
        <v>411</v>
      </c>
      <c r="E35" s="41"/>
      <c r="F35" s="23"/>
      <c r="G35" s="337"/>
      <c r="H35" s="24"/>
    </row>
    <row r="36" spans="1:8" ht="15" customHeight="1">
      <c r="A36" s="41"/>
      <c r="B36" s="41"/>
      <c r="C36" s="22"/>
      <c r="D36" s="22"/>
      <c r="E36" s="41"/>
      <c r="F36" s="23"/>
      <c r="G36" s="337"/>
      <c r="H36" s="24"/>
    </row>
    <row r="37" spans="1:8" ht="15" customHeight="1">
      <c r="A37" s="53">
        <v>8</v>
      </c>
      <c r="B37" s="53">
        <v>96618</v>
      </c>
      <c r="C37" s="53" t="s">
        <v>278</v>
      </c>
      <c r="D37" s="12" t="s">
        <v>156</v>
      </c>
      <c r="E37" s="53" t="s">
        <v>44</v>
      </c>
      <c r="F37" s="13">
        <f>(170*13+2*17.7*11.7+15.7*11.7)/1000+(2500+26*2*12)/1000+2*(5300+21*2*20)/1000+(2900+26*2*15)/1000+(600+1400+3*2100+1400)/1000+1.509</f>
        <v>33.10086999999999</v>
      </c>
      <c r="G37" s="46">
        <v>0</v>
      </c>
      <c r="H37" s="14">
        <f>ROUND((G37*F37),2)</f>
        <v>0</v>
      </c>
    </row>
    <row r="38" spans="1:8" ht="117" customHeight="1">
      <c r="A38" s="41"/>
      <c r="B38" s="77"/>
      <c r="C38" s="22"/>
      <c r="D38" s="40" t="s">
        <v>157</v>
      </c>
      <c r="E38" s="41"/>
      <c r="F38" s="23"/>
      <c r="G38" s="337"/>
      <c r="H38" s="24"/>
    </row>
    <row r="39" spans="1:8" ht="15" customHeight="1">
      <c r="A39" s="41"/>
      <c r="B39" s="41"/>
      <c r="C39" s="22"/>
      <c r="D39" s="40"/>
      <c r="E39" s="41"/>
      <c r="F39" s="23"/>
      <c r="G39" s="337"/>
      <c r="H39" s="24"/>
    </row>
    <row r="40" spans="1:8" ht="15" customHeight="1">
      <c r="A40" s="53">
        <v>9</v>
      </c>
      <c r="B40" s="53">
        <v>96616</v>
      </c>
      <c r="C40" s="53" t="s">
        <v>278</v>
      </c>
      <c r="D40" s="12" t="s">
        <v>412</v>
      </c>
      <c r="E40" s="53" t="s">
        <v>43</v>
      </c>
      <c r="F40" s="13">
        <f>0.6*0.7*3.5*5+1.2*1.45*3.5*6</f>
        <v>43.89</v>
      </c>
      <c r="G40" s="46">
        <v>0</v>
      </c>
      <c r="H40" s="14">
        <f>ROUND((G40*F40),2)</f>
        <v>0</v>
      </c>
    </row>
    <row r="41" spans="1:8" ht="71.25" customHeight="1">
      <c r="A41" s="41"/>
      <c r="B41" s="77"/>
      <c r="C41" s="22"/>
      <c r="D41" s="22" t="s">
        <v>655</v>
      </c>
      <c r="E41" s="41"/>
      <c r="F41" s="23"/>
      <c r="G41" s="337"/>
      <c r="H41" s="24"/>
    </row>
    <row r="42" spans="1:8" ht="15" customHeight="1">
      <c r="A42" s="41"/>
      <c r="B42" s="41"/>
      <c r="C42" s="22"/>
      <c r="D42" s="22"/>
      <c r="E42" s="41"/>
      <c r="F42" s="23"/>
      <c r="G42" s="337"/>
      <c r="H42" s="24"/>
    </row>
    <row r="43" spans="1:8" ht="15" customHeight="1">
      <c r="A43" s="53">
        <v>10</v>
      </c>
      <c r="B43" s="53">
        <v>96713</v>
      </c>
      <c r="C43" s="53" t="s">
        <v>278</v>
      </c>
      <c r="D43" s="12" t="s">
        <v>413</v>
      </c>
      <c r="E43" s="53" t="s">
        <v>43</v>
      </c>
      <c r="F43" s="13">
        <f>7*0.17*0.3*2+0.1*(0.6+0.6+1)*2</f>
        <v>1.1540000000000001</v>
      </c>
      <c r="G43" s="46">
        <v>0</v>
      </c>
      <c r="H43" s="14">
        <f>ROUND((G43*F43),2)</f>
        <v>0</v>
      </c>
    </row>
    <row r="44" spans="1:8" ht="33" customHeight="1">
      <c r="A44" s="41"/>
      <c r="B44" s="77"/>
      <c r="C44" s="22"/>
      <c r="D44" s="22" t="s">
        <v>414</v>
      </c>
      <c r="E44" s="41"/>
      <c r="F44" s="23"/>
      <c r="G44" s="337"/>
      <c r="H44" s="24"/>
    </row>
    <row r="45" spans="1:8" ht="15" customHeight="1">
      <c r="A45" s="41"/>
      <c r="B45" s="41"/>
      <c r="C45" s="22"/>
      <c r="D45" s="22"/>
      <c r="E45" s="41"/>
      <c r="F45" s="23"/>
      <c r="G45" s="337"/>
      <c r="H45" s="24"/>
    </row>
    <row r="46" spans="1:8" ht="12.75" customHeight="1">
      <c r="A46" s="58"/>
      <c r="B46" s="58"/>
      <c r="C46" s="10" t="s">
        <v>32</v>
      </c>
      <c r="D46" s="10" t="s">
        <v>31</v>
      </c>
      <c r="E46" s="58"/>
      <c r="F46" s="10"/>
      <c r="G46" s="47"/>
      <c r="H46" s="10">
        <f>SUM(H31:H44)</f>
        <v>0</v>
      </c>
    </row>
    <row r="47" ht="22.5" customHeight="1">
      <c r="N47" s="340" t="e">
        <f>+#REF!+N26+#REF!+#REF!+#REF!+#REF!+#REF!+#REF!+#REF!</f>
        <v>#REF!</v>
      </c>
    </row>
    <row r="48" spans="1:8" ht="30" customHeight="1">
      <c r="A48" s="58"/>
      <c r="B48" s="58"/>
      <c r="C48" s="10"/>
      <c r="D48" s="134" t="s">
        <v>34</v>
      </c>
      <c r="E48" s="58"/>
      <c r="F48" s="10"/>
      <c r="G48" s="47"/>
      <c r="H48" s="21">
        <f>SUM(H10:H46)/2</f>
        <v>0</v>
      </c>
    </row>
  </sheetData>
  <sheetProtection sheet="1" objects="1" scenarios="1" selectLockedCells="1"/>
  <protectedRanges>
    <protectedRange sqref="A34:B45" name="Oblast3"/>
    <protectedRange sqref="D34:D36" name="Oblast3_3"/>
    <protectedRange sqref="D37:D39" name="Oblast3_5"/>
    <protectedRange sqref="D40:D42" name="Oblast3_7"/>
    <protectedRange sqref="D43:D45" name="Oblast3_9"/>
  </protectedRanges>
  <autoFilter ref="B1:B52"/>
  <mergeCells count="6"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85" r:id="rId1"/>
  <headerFooter alignWithMargins="0">
    <oddFooter>&amp;C&amp;A
&amp;P/&amp;N</oddFooter>
  </headerFooter>
  <ignoredErrors>
    <ignoredError sqref="A7:H9 A25:F30 A24:F24 H24 A31:F40 A18:F19 A17:C17 E17:F17 A21:F23 A20:C20 E20:F20 A45:H48 A41:C41 E41:F41 A10:F16 H10:H16 H25:H30 H31:H40 H18:H19 H17 H21:H23 H20 A42:F44 H42:H44 H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85" zoomScaleNormal="85" zoomScalePageLayoutView="0" workbookViewId="0" topLeftCell="A1">
      <selection activeCell="F26" sqref="F26"/>
    </sheetView>
  </sheetViews>
  <sheetFormatPr defaultColWidth="9.140625" defaultRowHeight="12.75"/>
  <cols>
    <col min="1" max="1" width="4.7109375" style="136" customWidth="1"/>
    <col min="2" max="2" width="10.7109375" style="136" customWidth="1"/>
    <col min="3" max="3" width="30.7109375" style="136" customWidth="1"/>
    <col min="4" max="4" width="6.421875" style="206" customWidth="1"/>
    <col min="5" max="5" width="12.140625" style="210" customWidth="1"/>
    <col min="6" max="6" width="17.57421875" style="211" customWidth="1"/>
    <col min="7" max="8" width="0" style="136" hidden="1" customWidth="1"/>
    <col min="9" max="16384" width="9.140625" style="136" customWidth="1"/>
  </cols>
  <sheetData>
    <row r="1" ht="15.75">
      <c r="A1" s="248" t="s">
        <v>92</v>
      </c>
    </row>
    <row r="2" ht="15.75">
      <c r="A2" s="248" t="s">
        <v>558</v>
      </c>
    </row>
    <row r="3" spans="1:3" ht="15.75">
      <c r="A3" s="248" t="s">
        <v>499</v>
      </c>
      <c r="B3" s="139"/>
      <c r="C3" s="139"/>
    </row>
    <row r="4" spans="1:3" ht="15.75" thickBot="1">
      <c r="A4" s="212"/>
      <c r="B4" s="139"/>
      <c r="C4" s="139"/>
    </row>
    <row r="5" spans="1:6" s="143" customFormat="1" ht="33.75" customHeight="1" thickBot="1">
      <c r="A5" s="213" t="s">
        <v>471</v>
      </c>
      <c r="B5" s="214"/>
      <c r="C5" s="214"/>
      <c r="D5" s="215"/>
      <c r="E5" s="216"/>
      <c r="F5" s="217"/>
    </row>
    <row r="6" spans="1:6" ht="15.75" thickBot="1">
      <c r="A6" s="218" t="s">
        <v>433</v>
      </c>
      <c r="B6" s="219"/>
      <c r="C6" s="219"/>
      <c r="D6" s="220" t="s">
        <v>472</v>
      </c>
      <c r="E6" s="221" t="s">
        <v>473</v>
      </c>
      <c r="F6" s="222" t="s">
        <v>474</v>
      </c>
    </row>
    <row r="7" spans="1:8" ht="15">
      <c r="A7" s="223">
        <v>1</v>
      </c>
      <c r="B7" s="224" t="s">
        <v>475</v>
      </c>
      <c r="C7" s="224"/>
      <c r="D7" s="227"/>
      <c r="E7" s="225"/>
      <c r="F7" s="226">
        <f>'SO402-soupis položek'!G10</f>
        <v>0</v>
      </c>
      <c r="H7" s="136">
        <v>9</v>
      </c>
    </row>
    <row r="8" spans="1:8" ht="15">
      <c r="A8" s="223">
        <v>2</v>
      </c>
      <c r="B8" s="224" t="s">
        <v>476</v>
      </c>
      <c r="C8" s="224"/>
      <c r="D8" s="257">
        <v>0</v>
      </c>
      <c r="E8" s="225">
        <f>SUM(F7:F7)</f>
        <v>0</v>
      </c>
      <c r="F8" s="226">
        <f>D8*E8/100</f>
        <v>0</v>
      </c>
      <c r="H8" s="136">
        <v>10</v>
      </c>
    </row>
    <row r="9" spans="1:8" ht="15">
      <c r="A9" s="223">
        <v>3</v>
      </c>
      <c r="B9" s="224" t="s">
        <v>477</v>
      </c>
      <c r="C9" s="224"/>
      <c r="D9" s="257">
        <v>0</v>
      </c>
      <c r="E9" s="225">
        <f>SUM(F7:F7)</f>
        <v>0</v>
      </c>
      <c r="F9" s="226">
        <f>D9*E9/100</f>
        <v>0</v>
      </c>
      <c r="H9" s="136">
        <v>12</v>
      </c>
    </row>
    <row r="10" spans="1:8" ht="15">
      <c r="A10" s="223">
        <v>4</v>
      </c>
      <c r="B10" s="224" t="s">
        <v>478</v>
      </c>
      <c r="C10" s="224"/>
      <c r="D10" s="227"/>
      <c r="E10" s="225"/>
      <c r="F10" s="226">
        <f>'SO402-soupis položek'!G20</f>
        <v>0</v>
      </c>
      <c r="H10" s="136">
        <v>13</v>
      </c>
    </row>
    <row r="11" spans="1:8" ht="15">
      <c r="A11" s="223">
        <v>5</v>
      </c>
      <c r="B11" s="224" t="s">
        <v>479</v>
      </c>
      <c r="C11" s="224"/>
      <c r="D11" s="257">
        <v>0</v>
      </c>
      <c r="E11" s="225">
        <f>'SO402-soupis položek'!G12+'SO402-soupis položek'!G17</f>
        <v>0</v>
      </c>
      <c r="F11" s="226">
        <f>D11*E11/100</f>
        <v>0</v>
      </c>
      <c r="H11" s="136">
        <v>14</v>
      </c>
    </row>
    <row r="12" spans="1:8" ht="15">
      <c r="A12" s="223">
        <v>6</v>
      </c>
      <c r="B12" s="224" t="s">
        <v>480</v>
      </c>
      <c r="C12" s="224"/>
      <c r="D12" s="257">
        <v>0</v>
      </c>
      <c r="E12" s="225">
        <f>SUM(F10:F10)</f>
        <v>0</v>
      </c>
      <c r="F12" s="226">
        <f>D12*E12/100</f>
        <v>0</v>
      </c>
      <c r="H12" s="136">
        <v>15</v>
      </c>
    </row>
    <row r="13" spans="1:8" ht="15">
      <c r="A13" s="223">
        <v>7</v>
      </c>
      <c r="B13" s="224" t="s">
        <v>481</v>
      </c>
      <c r="C13" s="224"/>
      <c r="D13" s="227"/>
      <c r="E13" s="225"/>
      <c r="F13" s="226">
        <f>'SO402-soupis položek'!G29</f>
        <v>0</v>
      </c>
      <c r="H13" s="136">
        <v>17</v>
      </c>
    </row>
    <row r="14" spans="1:8" ht="15">
      <c r="A14" s="223">
        <v>8</v>
      </c>
      <c r="B14" s="224" t="s">
        <v>482</v>
      </c>
      <c r="C14" s="224"/>
      <c r="D14" s="227"/>
      <c r="E14" s="225"/>
      <c r="F14" s="226">
        <f>'SO402-soupis položek'!G40</f>
        <v>0</v>
      </c>
      <c r="G14" s="211">
        <f>SUM(F10:F12)</f>
        <v>0</v>
      </c>
      <c r="H14" s="136">
        <v>18</v>
      </c>
    </row>
    <row r="15" spans="1:8" ht="15">
      <c r="A15" s="223">
        <v>9</v>
      </c>
      <c r="B15" s="224" t="s">
        <v>483</v>
      </c>
      <c r="C15" s="224"/>
      <c r="D15" s="227"/>
      <c r="E15" s="225"/>
      <c r="F15" s="226">
        <f>'SO402-soupis položek'!G57</f>
        <v>0</v>
      </c>
      <c r="G15" s="211">
        <f>SUM(F13:F13)</f>
        <v>0</v>
      </c>
      <c r="H15" s="136">
        <v>21</v>
      </c>
    </row>
    <row r="16" spans="1:8" ht="15">
      <c r="A16" s="223">
        <v>10</v>
      </c>
      <c r="B16" s="224" t="s">
        <v>484</v>
      </c>
      <c r="C16" s="224"/>
      <c r="D16" s="257">
        <v>0</v>
      </c>
      <c r="E16" s="225">
        <f>SUM(F14:G14)</f>
        <v>0</v>
      </c>
      <c r="F16" s="226">
        <f>D16*E16/100</f>
        <v>0</v>
      </c>
      <c r="H16" s="136">
        <v>22</v>
      </c>
    </row>
    <row r="17" spans="1:8" ht="15.75" thickBot="1">
      <c r="A17" s="223">
        <v>11</v>
      </c>
      <c r="B17" s="224" t="s">
        <v>485</v>
      </c>
      <c r="C17" s="224"/>
      <c r="D17" s="257">
        <v>0</v>
      </c>
      <c r="E17" s="225">
        <f>SUM(F15:G15)</f>
        <v>0</v>
      </c>
      <c r="F17" s="226">
        <f>D17*E17/100</f>
        <v>0</v>
      </c>
      <c r="H17" s="136">
        <v>23</v>
      </c>
    </row>
    <row r="18" spans="1:8" ht="15">
      <c r="A18" s="228">
        <v>12</v>
      </c>
      <c r="B18" s="229" t="s">
        <v>486</v>
      </c>
      <c r="C18" s="229"/>
      <c r="D18" s="230"/>
      <c r="E18" s="231"/>
      <c r="F18" s="232">
        <f>SUM(F7:F8)</f>
        <v>0</v>
      </c>
      <c r="H18" s="136">
        <v>25</v>
      </c>
    </row>
    <row r="19" spans="1:8" ht="15.75" thickBot="1">
      <c r="A19" s="223">
        <v>13</v>
      </c>
      <c r="B19" s="224" t="s">
        <v>487</v>
      </c>
      <c r="C19" s="224"/>
      <c r="D19" s="227"/>
      <c r="E19" s="225"/>
      <c r="F19" s="226">
        <f>SUM(F9:F17)</f>
        <v>0</v>
      </c>
      <c r="H19" s="136">
        <v>26</v>
      </c>
    </row>
    <row r="20" spans="1:8" ht="15">
      <c r="A20" s="233">
        <v>14</v>
      </c>
      <c r="B20" s="234" t="s">
        <v>488</v>
      </c>
      <c r="C20" s="234"/>
      <c r="D20" s="235"/>
      <c r="E20" s="236"/>
      <c r="F20" s="237">
        <f>SUM(F18:F19)</f>
        <v>0</v>
      </c>
      <c r="G20" s="211">
        <f>SUM(F20:F20)</f>
        <v>0</v>
      </c>
      <c r="H20" s="136">
        <v>28</v>
      </c>
    </row>
    <row r="21" spans="1:6" ht="15">
      <c r="A21" s="238"/>
      <c r="B21" s="239"/>
      <c r="C21" s="239"/>
      <c r="D21" s="240"/>
      <c r="E21" s="241"/>
      <c r="F21" s="242"/>
    </row>
    <row r="22" spans="1:8" ht="15">
      <c r="A22" s="223">
        <v>15</v>
      </c>
      <c r="B22" s="224" t="s">
        <v>489</v>
      </c>
      <c r="C22" s="224"/>
      <c r="D22" s="257">
        <v>0</v>
      </c>
      <c r="E22" s="225">
        <f>SUM(F19:F19)</f>
        <v>0</v>
      </c>
      <c r="F22" s="226">
        <f>D22*E22/100</f>
        <v>0</v>
      </c>
      <c r="H22" s="136">
        <v>30</v>
      </c>
    </row>
    <row r="23" spans="1:8" ht="15.75" thickBot="1">
      <c r="A23" s="223">
        <v>16</v>
      </c>
      <c r="B23" s="224" t="s">
        <v>543</v>
      </c>
      <c r="C23" s="224"/>
      <c r="D23" s="257">
        <v>0</v>
      </c>
      <c r="E23" s="225">
        <f>SUM(F19:F19)</f>
        <v>0</v>
      </c>
      <c r="F23" s="226">
        <f>D23*E23/100</f>
        <v>0</v>
      </c>
      <c r="H23" s="136">
        <v>31</v>
      </c>
    </row>
    <row r="24" spans="1:8" ht="15">
      <c r="A24" s="233">
        <v>17</v>
      </c>
      <c r="B24" s="234" t="s">
        <v>491</v>
      </c>
      <c r="C24" s="234"/>
      <c r="D24" s="235"/>
      <c r="E24" s="236"/>
      <c r="F24" s="237">
        <f>SUM(F22:F23)</f>
        <v>0</v>
      </c>
      <c r="G24" s="211">
        <f>SUM(F24:F24)</f>
        <v>0</v>
      </c>
      <c r="H24" s="136">
        <v>33</v>
      </c>
    </row>
    <row r="25" spans="1:6" ht="15">
      <c r="A25" s="238"/>
      <c r="B25" s="239"/>
      <c r="C25" s="239"/>
      <c r="D25" s="240"/>
      <c r="E25" s="241"/>
      <c r="F25" s="242"/>
    </row>
    <row r="26" spans="1:8" ht="15">
      <c r="A26" s="223">
        <v>18</v>
      </c>
      <c r="B26" s="224" t="s">
        <v>492</v>
      </c>
      <c r="C26" s="224"/>
      <c r="D26" s="227"/>
      <c r="E26" s="225"/>
      <c r="F26" s="258">
        <v>0</v>
      </c>
      <c r="H26" s="136">
        <v>35</v>
      </c>
    </row>
    <row r="27" spans="1:8" ht="15">
      <c r="A27" s="223">
        <v>19</v>
      </c>
      <c r="B27" s="224" t="s">
        <v>493</v>
      </c>
      <c r="C27" s="224"/>
      <c r="D27" s="227"/>
      <c r="E27" s="225"/>
      <c r="F27" s="258">
        <v>0</v>
      </c>
      <c r="H27" s="136">
        <v>36</v>
      </c>
    </row>
    <row r="28" spans="1:8" ht="15">
      <c r="A28" s="223">
        <v>20</v>
      </c>
      <c r="B28" s="224" t="s">
        <v>544</v>
      </c>
      <c r="C28" s="224"/>
      <c r="D28" s="227"/>
      <c r="E28" s="225"/>
      <c r="F28" s="226">
        <f>'SO402-soupis položek'!G60</f>
        <v>0</v>
      </c>
      <c r="H28" s="136">
        <v>38</v>
      </c>
    </row>
    <row r="29" spans="1:8" ht="15.75" thickBot="1">
      <c r="A29" s="223">
        <v>21</v>
      </c>
      <c r="B29" s="224" t="s">
        <v>494</v>
      </c>
      <c r="C29" s="224"/>
      <c r="D29" s="227"/>
      <c r="E29" s="225"/>
      <c r="F29" s="258">
        <v>0</v>
      </c>
      <c r="H29" s="136">
        <v>39</v>
      </c>
    </row>
    <row r="30" spans="1:8" ht="15">
      <c r="A30" s="233">
        <v>22</v>
      </c>
      <c r="B30" s="234" t="s">
        <v>495</v>
      </c>
      <c r="C30" s="234"/>
      <c r="D30" s="235"/>
      <c r="E30" s="236"/>
      <c r="F30" s="237">
        <f>SUM(F26:F29)</f>
        <v>0</v>
      </c>
      <c r="G30" s="211">
        <f>SUM(F30:F30)</f>
        <v>0</v>
      </c>
      <c r="H30" s="136">
        <v>41</v>
      </c>
    </row>
    <row r="31" spans="1:6" ht="15">
      <c r="A31" s="238"/>
      <c r="B31" s="239"/>
      <c r="C31" s="239"/>
      <c r="D31" s="240"/>
      <c r="E31" s="241"/>
      <c r="F31" s="242"/>
    </row>
    <row r="32" spans="1:8" ht="15.75" thickBot="1">
      <c r="A32" s="223">
        <v>23</v>
      </c>
      <c r="B32" s="224" t="s">
        <v>496</v>
      </c>
      <c r="C32" s="224"/>
      <c r="D32" s="227"/>
      <c r="E32" s="225"/>
      <c r="F32" s="258">
        <v>0</v>
      </c>
      <c r="H32" s="136">
        <v>5</v>
      </c>
    </row>
    <row r="33" spans="1:8" ht="15">
      <c r="A33" s="233">
        <v>25</v>
      </c>
      <c r="B33" s="234" t="s">
        <v>497</v>
      </c>
      <c r="C33" s="234"/>
      <c r="D33" s="235"/>
      <c r="E33" s="236"/>
      <c r="F33" s="237">
        <f>SUM(F32:F32)</f>
        <v>0</v>
      </c>
      <c r="G33" s="211">
        <f>SUM(F33:F33)</f>
        <v>0</v>
      </c>
      <c r="H33" s="136">
        <v>7</v>
      </c>
    </row>
    <row r="34" spans="1:6" ht="15.75" thickBot="1">
      <c r="A34" s="238"/>
      <c r="B34" s="239"/>
      <c r="C34" s="239"/>
      <c r="D34" s="240"/>
      <c r="E34" s="241"/>
      <c r="F34" s="242"/>
    </row>
    <row r="35" spans="1:8" ht="16.5" thickBot="1" thickTop="1">
      <c r="A35" s="243">
        <v>26</v>
      </c>
      <c r="B35" s="244" t="s">
        <v>498</v>
      </c>
      <c r="C35" s="244"/>
      <c r="D35" s="245"/>
      <c r="E35" s="246"/>
      <c r="F35" s="247">
        <f>SUM(G18:G34)</f>
        <v>0</v>
      </c>
      <c r="H35" s="136">
        <v>44</v>
      </c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8"/>
  <sheetViews>
    <sheetView showGridLines="0" zoomScale="85" zoomScaleNormal="85" zoomScalePageLayoutView="0" workbookViewId="0" topLeftCell="A19">
      <selection activeCell="F36" sqref="F36"/>
    </sheetView>
  </sheetViews>
  <sheetFormatPr defaultColWidth="9.140625" defaultRowHeight="12.75"/>
  <cols>
    <col min="1" max="1" width="4.140625" style="136" bestFit="1" customWidth="1"/>
    <col min="2" max="2" width="10.00390625" style="136" bestFit="1" customWidth="1"/>
    <col min="3" max="3" width="50.00390625" style="136" bestFit="1" customWidth="1"/>
    <col min="4" max="4" width="3.7109375" style="136" bestFit="1" customWidth="1"/>
    <col min="5" max="5" width="8.28125" style="136" bestFit="1" customWidth="1"/>
    <col min="6" max="6" width="11.00390625" style="136" bestFit="1" customWidth="1"/>
    <col min="7" max="7" width="11.57421875" style="136" bestFit="1" customWidth="1"/>
    <col min="8" max="8" width="6.7109375" style="136" bestFit="1" customWidth="1"/>
    <col min="9" max="9" width="10.140625" style="136" bestFit="1" customWidth="1"/>
    <col min="10" max="10" width="5.421875" style="137" hidden="1" customWidth="1"/>
    <col min="11" max="11" width="5.421875" style="136" hidden="1" customWidth="1"/>
    <col min="12" max="12" width="0" style="136" hidden="1" customWidth="1"/>
    <col min="13" max="13" width="4.57421875" style="136" hidden="1" customWidth="1"/>
    <col min="14" max="16384" width="9.140625" style="136" customWidth="1"/>
  </cols>
  <sheetData>
    <row r="1" spans="1:9" ht="15.75">
      <c r="A1" s="421" t="s">
        <v>92</v>
      </c>
      <c r="B1" s="421"/>
      <c r="C1" s="421"/>
      <c r="D1" s="421"/>
      <c r="E1" s="421"/>
      <c r="F1" s="421"/>
      <c r="G1" s="421"/>
      <c r="H1" s="421"/>
      <c r="I1" s="421"/>
    </row>
    <row r="2" spans="1:9" ht="15.75">
      <c r="A2" s="421" t="s">
        <v>558</v>
      </c>
      <c r="B2" s="421"/>
      <c r="C2" s="421"/>
      <c r="D2" s="421"/>
      <c r="E2" s="421"/>
      <c r="F2" s="421"/>
      <c r="G2" s="421"/>
      <c r="H2" s="421"/>
      <c r="I2" s="421"/>
    </row>
    <row r="3" spans="1:10" ht="15.75">
      <c r="A3" s="421" t="s">
        <v>499</v>
      </c>
      <c r="B3" s="421"/>
      <c r="C3" s="421"/>
      <c r="D3" s="421"/>
      <c r="E3" s="421"/>
      <c r="F3" s="421"/>
      <c r="G3" s="421"/>
      <c r="H3" s="421"/>
      <c r="I3" s="421"/>
      <c r="J3" s="140"/>
    </row>
    <row r="4" spans="1:10" ht="15">
      <c r="A4" s="138"/>
      <c r="B4" s="139"/>
      <c r="C4" s="138"/>
      <c r="D4" s="138"/>
      <c r="E4" s="138"/>
      <c r="F4" s="138"/>
      <c r="G4" s="138"/>
      <c r="H4" s="138"/>
      <c r="I4" s="138"/>
      <c r="J4" s="140"/>
    </row>
    <row r="5" spans="1:10" s="143" customFormat="1" ht="33.75" customHeight="1" thickBot="1">
      <c r="A5" s="141" t="s">
        <v>432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3" ht="15.75" thickBot="1">
      <c r="A6" s="144" t="s">
        <v>433</v>
      </c>
      <c r="B6" s="145" t="s">
        <v>434</v>
      </c>
      <c r="C6" s="146" t="s">
        <v>435</v>
      </c>
      <c r="D6" s="146" t="s">
        <v>436</v>
      </c>
      <c r="E6" s="147" t="s">
        <v>437</v>
      </c>
      <c r="F6" s="147" t="s">
        <v>438</v>
      </c>
      <c r="G6" s="148" t="s">
        <v>439</v>
      </c>
      <c r="H6" s="149" t="s">
        <v>440</v>
      </c>
      <c r="I6" s="150" t="s">
        <v>441</v>
      </c>
      <c r="J6" s="151" t="s">
        <v>0</v>
      </c>
      <c r="K6" s="136" t="s">
        <v>442</v>
      </c>
      <c r="L6" s="136" t="s">
        <v>443</v>
      </c>
      <c r="M6" s="136" t="s">
        <v>444</v>
      </c>
    </row>
    <row r="7" spans="1:10" s="160" customFormat="1" ht="19.5" customHeight="1">
      <c r="A7" s="152" t="s">
        <v>445</v>
      </c>
      <c r="B7" s="153"/>
      <c r="C7" s="154"/>
      <c r="D7" s="154"/>
      <c r="E7" s="155"/>
      <c r="F7" s="155"/>
      <c r="G7" s="156"/>
      <c r="H7" s="157"/>
      <c r="I7" s="158"/>
      <c r="J7" s="159"/>
    </row>
    <row r="8" spans="1:13" ht="15">
      <c r="A8" s="161">
        <v>1</v>
      </c>
      <c r="B8" s="162">
        <v>720161</v>
      </c>
      <c r="C8" s="163" t="s">
        <v>513</v>
      </c>
      <c r="D8" s="163" t="s">
        <v>446</v>
      </c>
      <c r="E8" s="164">
        <v>1</v>
      </c>
      <c r="F8" s="259">
        <v>0</v>
      </c>
      <c r="G8" s="165">
        <f>E8*F8</f>
        <v>0</v>
      </c>
      <c r="H8" s="166">
        <v>0</v>
      </c>
      <c r="I8" s="167">
        <f>E8*H8</f>
        <v>0</v>
      </c>
      <c r="J8" s="168" t="s">
        <v>453</v>
      </c>
      <c r="K8" s="136" t="s">
        <v>448</v>
      </c>
      <c r="M8" s="169" t="s">
        <v>449</v>
      </c>
    </row>
    <row r="9" spans="1:13" ht="15.75" thickBot="1">
      <c r="A9" s="170">
        <v>2</v>
      </c>
      <c r="B9" s="171">
        <v>720691</v>
      </c>
      <c r="C9" s="172" t="s">
        <v>514</v>
      </c>
      <c r="D9" s="172" t="s">
        <v>446</v>
      </c>
      <c r="E9" s="173">
        <v>1</v>
      </c>
      <c r="F9" s="260">
        <v>0</v>
      </c>
      <c r="G9" s="174">
        <f>E9*F9</f>
        <v>0</v>
      </c>
      <c r="H9" s="175">
        <v>0</v>
      </c>
      <c r="I9" s="176">
        <f>E9*H9</f>
        <v>0</v>
      </c>
      <c r="J9" s="177" t="s">
        <v>453</v>
      </c>
      <c r="M9" s="169" t="s">
        <v>449</v>
      </c>
    </row>
    <row r="10" spans="1:13" s="186" customFormat="1" ht="14.25">
      <c r="A10" s="178"/>
      <c r="B10" s="179"/>
      <c r="C10" s="180" t="s">
        <v>450</v>
      </c>
      <c r="D10" s="180"/>
      <c r="E10" s="181"/>
      <c r="F10" s="181"/>
      <c r="G10" s="182">
        <f>SUM(G8:G9)</f>
        <v>0</v>
      </c>
      <c r="H10" s="183"/>
      <c r="I10" s="184">
        <f>SUM(I8:I9)</f>
        <v>0</v>
      </c>
      <c r="J10" s="185"/>
      <c r="M10" s="187" t="s">
        <v>449</v>
      </c>
    </row>
    <row r="11" spans="1:13" s="160" customFormat="1" ht="19.5" customHeight="1">
      <c r="A11" s="188" t="s">
        <v>451</v>
      </c>
      <c r="B11" s="189"/>
      <c r="C11" s="190"/>
      <c r="D11" s="190"/>
      <c r="E11" s="191"/>
      <c r="F11" s="191"/>
      <c r="G11" s="192"/>
      <c r="H11" s="193"/>
      <c r="I11" s="194"/>
      <c r="J11" s="195"/>
      <c r="M11" s="196"/>
    </row>
    <row r="12" spans="1:13" ht="15">
      <c r="A12" s="161">
        <v>3</v>
      </c>
      <c r="B12" s="162">
        <v>101210</v>
      </c>
      <c r="C12" s="163" t="s">
        <v>515</v>
      </c>
      <c r="D12" s="163" t="s">
        <v>103</v>
      </c>
      <c r="E12" s="164">
        <v>95</v>
      </c>
      <c r="F12" s="259">
        <v>0</v>
      </c>
      <c r="G12" s="165">
        <f aca="true" t="shared" si="0" ref="G12:G19">E12*F12</f>
        <v>0</v>
      </c>
      <c r="H12" s="166">
        <v>0</v>
      </c>
      <c r="I12" s="167">
        <f aca="true" t="shared" si="1" ref="I12:I19">E12*H12</f>
        <v>0</v>
      </c>
      <c r="J12" s="168" t="s">
        <v>447</v>
      </c>
      <c r="K12" s="136" t="s">
        <v>448</v>
      </c>
      <c r="M12" s="169" t="s">
        <v>452</v>
      </c>
    </row>
    <row r="13" spans="1:13" ht="15">
      <c r="A13" s="161">
        <v>4</v>
      </c>
      <c r="B13" s="162">
        <v>433165</v>
      </c>
      <c r="C13" s="163" t="s">
        <v>516</v>
      </c>
      <c r="D13" s="163" t="s">
        <v>446</v>
      </c>
      <c r="E13" s="164">
        <v>3</v>
      </c>
      <c r="F13" s="259">
        <v>0</v>
      </c>
      <c r="G13" s="165">
        <f t="shared" si="0"/>
        <v>0</v>
      </c>
      <c r="H13" s="166">
        <v>0</v>
      </c>
      <c r="I13" s="167">
        <f t="shared" si="1"/>
        <v>0</v>
      </c>
      <c r="J13" s="168" t="s">
        <v>447</v>
      </c>
      <c r="M13" s="169" t="s">
        <v>452</v>
      </c>
    </row>
    <row r="14" spans="1:13" ht="15">
      <c r="A14" s="161">
        <v>5</v>
      </c>
      <c r="B14" s="162" t="s">
        <v>517</v>
      </c>
      <c r="C14" s="163" t="s">
        <v>518</v>
      </c>
      <c r="D14" s="163" t="s">
        <v>148</v>
      </c>
      <c r="E14" s="164">
        <v>1</v>
      </c>
      <c r="F14" s="259">
        <v>0</v>
      </c>
      <c r="G14" s="165">
        <f t="shared" si="0"/>
        <v>0</v>
      </c>
      <c r="H14" s="166">
        <v>0</v>
      </c>
      <c r="I14" s="167">
        <f t="shared" si="1"/>
        <v>0</v>
      </c>
      <c r="J14" s="168" t="s">
        <v>447</v>
      </c>
      <c r="K14" s="136" t="s">
        <v>448</v>
      </c>
      <c r="M14" s="169" t="s">
        <v>452</v>
      </c>
    </row>
    <row r="15" spans="1:13" ht="15">
      <c r="A15" s="161">
        <v>6</v>
      </c>
      <c r="B15" s="162">
        <v>435130</v>
      </c>
      <c r="C15" s="163" t="s">
        <v>519</v>
      </c>
      <c r="D15" s="163" t="s">
        <v>446</v>
      </c>
      <c r="E15" s="164">
        <v>1</v>
      </c>
      <c r="F15" s="259">
        <v>0</v>
      </c>
      <c r="G15" s="165">
        <f t="shared" si="0"/>
        <v>0</v>
      </c>
      <c r="H15" s="166">
        <v>0</v>
      </c>
      <c r="I15" s="167">
        <f t="shared" si="1"/>
        <v>0</v>
      </c>
      <c r="J15" s="168" t="s">
        <v>447</v>
      </c>
      <c r="K15" s="136" t="s">
        <v>448</v>
      </c>
      <c r="M15" s="169" t="s">
        <v>452</v>
      </c>
    </row>
    <row r="16" spans="1:13" ht="15">
      <c r="A16" s="161">
        <v>7</v>
      </c>
      <c r="B16" s="162">
        <v>435126</v>
      </c>
      <c r="C16" s="163" t="s">
        <v>520</v>
      </c>
      <c r="D16" s="163" t="s">
        <v>446</v>
      </c>
      <c r="E16" s="164">
        <v>1</v>
      </c>
      <c r="F16" s="259">
        <v>0</v>
      </c>
      <c r="G16" s="165">
        <f t="shared" si="0"/>
        <v>0</v>
      </c>
      <c r="H16" s="166">
        <v>0</v>
      </c>
      <c r="I16" s="167">
        <f t="shared" si="1"/>
        <v>0</v>
      </c>
      <c r="J16" s="168" t="s">
        <v>447</v>
      </c>
      <c r="K16" s="136" t="s">
        <v>448</v>
      </c>
      <c r="M16" s="169" t="s">
        <v>452</v>
      </c>
    </row>
    <row r="17" spans="1:13" ht="15">
      <c r="A17" s="161">
        <v>8</v>
      </c>
      <c r="B17" s="162">
        <v>295001</v>
      </c>
      <c r="C17" s="163" t="s">
        <v>521</v>
      </c>
      <c r="D17" s="163" t="s">
        <v>103</v>
      </c>
      <c r="E17" s="164">
        <v>75</v>
      </c>
      <c r="F17" s="259">
        <v>0</v>
      </c>
      <c r="G17" s="165">
        <f t="shared" si="0"/>
        <v>0</v>
      </c>
      <c r="H17" s="166">
        <v>0</v>
      </c>
      <c r="I17" s="167">
        <f t="shared" si="1"/>
        <v>0</v>
      </c>
      <c r="J17" s="168" t="s">
        <v>447</v>
      </c>
      <c r="K17" s="136" t="s">
        <v>448</v>
      </c>
      <c r="M17" s="169" t="s">
        <v>452</v>
      </c>
    </row>
    <row r="18" spans="1:13" ht="15">
      <c r="A18" s="161">
        <v>9</v>
      </c>
      <c r="B18" s="162">
        <v>295071</v>
      </c>
      <c r="C18" s="163" t="s">
        <v>522</v>
      </c>
      <c r="D18" s="163" t="s">
        <v>446</v>
      </c>
      <c r="E18" s="164">
        <v>4</v>
      </c>
      <c r="F18" s="259">
        <v>0</v>
      </c>
      <c r="G18" s="165">
        <f t="shared" si="0"/>
        <v>0</v>
      </c>
      <c r="H18" s="166">
        <v>0</v>
      </c>
      <c r="I18" s="167">
        <f t="shared" si="1"/>
        <v>0</v>
      </c>
      <c r="J18" s="168" t="s">
        <v>447</v>
      </c>
      <c r="K18" s="136" t="s">
        <v>448</v>
      </c>
      <c r="M18" s="169" t="s">
        <v>452</v>
      </c>
    </row>
    <row r="19" spans="1:16" ht="15.75" thickBot="1">
      <c r="A19" s="170">
        <v>10</v>
      </c>
      <c r="B19" s="171">
        <v>295074</v>
      </c>
      <c r="C19" s="172" t="s">
        <v>523</v>
      </c>
      <c r="D19" s="172" t="s">
        <v>446</v>
      </c>
      <c r="E19" s="173">
        <v>4</v>
      </c>
      <c r="F19" s="260">
        <v>0</v>
      </c>
      <c r="G19" s="174">
        <f t="shared" si="0"/>
        <v>0</v>
      </c>
      <c r="H19" s="175">
        <v>0</v>
      </c>
      <c r="I19" s="176">
        <f t="shared" si="1"/>
        <v>0</v>
      </c>
      <c r="J19" s="177" t="s">
        <v>447</v>
      </c>
      <c r="K19" s="136" t="s">
        <v>448</v>
      </c>
      <c r="M19" s="169" t="s">
        <v>452</v>
      </c>
      <c r="P19" s="207"/>
    </row>
    <row r="20" spans="1:13" s="186" customFormat="1" ht="14.25">
      <c r="A20" s="178"/>
      <c r="B20" s="179"/>
      <c r="C20" s="180" t="s">
        <v>450</v>
      </c>
      <c r="D20" s="180"/>
      <c r="E20" s="181"/>
      <c r="F20" s="181"/>
      <c r="G20" s="182">
        <f>SUM(G12:G19)</f>
        <v>0</v>
      </c>
      <c r="H20" s="183"/>
      <c r="I20" s="184">
        <f>SUM(I12:I19)</f>
        <v>0</v>
      </c>
      <c r="J20" s="185"/>
      <c r="M20" s="187" t="s">
        <v>452</v>
      </c>
    </row>
    <row r="21" spans="1:13" s="160" customFormat="1" ht="19.5" customHeight="1">
      <c r="A21" s="188" t="s">
        <v>454</v>
      </c>
      <c r="B21" s="189"/>
      <c r="C21" s="190"/>
      <c r="D21" s="190"/>
      <c r="E21" s="191"/>
      <c r="F21" s="191"/>
      <c r="G21" s="192"/>
      <c r="H21" s="193"/>
      <c r="I21" s="194"/>
      <c r="J21" s="195"/>
      <c r="M21" s="196"/>
    </row>
    <row r="22" spans="1:13" ht="15">
      <c r="A22" s="161">
        <v>11</v>
      </c>
      <c r="B22" s="162">
        <v>46112</v>
      </c>
      <c r="C22" s="163" t="s">
        <v>456</v>
      </c>
      <c r="D22" s="163" t="s">
        <v>102</v>
      </c>
      <c r="E22" s="164">
        <v>10.81</v>
      </c>
      <c r="F22" s="259">
        <v>0</v>
      </c>
      <c r="G22" s="165">
        <f aca="true" t="shared" si="2" ref="G22:G28">E22*F22</f>
        <v>0</v>
      </c>
      <c r="H22" s="166">
        <v>0</v>
      </c>
      <c r="I22" s="167">
        <f aca="true" t="shared" si="3" ref="I22:I28">E22*H22</f>
        <v>0</v>
      </c>
      <c r="J22" s="168" t="s">
        <v>447</v>
      </c>
      <c r="M22" s="169" t="s">
        <v>455</v>
      </c>
    </row>
    <row r="23" spans="1:13" ht="15">
      <c r="A23" s="161">
        <v>12</v>
      </c>
      <c r="B23" s="162">
        <v>46133</v>
      </c>
      <c r="C23" s="163" t="s">
        <v>457</v>
      </c>
      <c r="D23" s="163" t="s">
        <v>102</v>
      </c>
      <c r="E23" s="164">
        <v>2.28</v>
      </c>
      <c r="F23" s="259">
        <v>0</v>
      </c>
      <c r="G23" s="165">
        <f t="shared" si="2"/>
        <v>0</v>
      </c>
      <c r="H23" s="166">
        <v>0</v>
      </c>
      <c r="I23" s="167">
        <f t="shared" si="3"/>
        <v>0</v>
      </c>
      <c r="J23" s="168" t="s">
        <v>447</v>
      </c>
      <c r="M23" s="169" t="s">
        <v>455</v>
      </c>
    </row>
    <row r="24" spans="1:13" ht="15">
      <c r="A24" s="161">
        <v>13</v>
      </c>
      <c r="B24" s="162">
        <v>46325</v>
      </c>
      <c r="C24" s="163" t="s">
        <v>458</v>
      </c>
      <c r="D24" s="163" t="s">
        <v>103</v>
      </c>
      <c r="E24" s="164">
        <v>17</v>
      </c>
      <c r="F24" s="259">
        <v>0</v>
      </c>
      <c r="G24" s="165">
        <f t="shared" si="2"/>
        <v>0</v>
      </c>
      <c r="H24" s="166">
        <v>0</v>
      </c>
      <c r="I24" s="167">
        <f t="shared" si="3"/>
        <v>0</v>
      </c>
      <c r="J24" s="168" t="s">
        <v>447</v>
      </c>
      <c r="M24" s="169" t="s">
        <v>455</v>
      </c>
    </row>
    <row r="25" spans="1:13" ht="15">
      <c r="A25" s="161">
        <v>14</v>
      </c>
      <c r="B25" s="162">
        <v>46383</v>
      </c>
      <c r="C25" s="163" t="s">
        <v>460</v>
      </c>
      <c r="D25" s="163" t="s">
        <v>103</v>
      </c>
      <c r="E25" s="164">
        <v>34</v>
      </c>
      <c r="F25" s="259">
        <v>0</v>
      </c>
      <c r="G25" s="165">
        <f t="shared" si="2"/>
        <v>0</v>
      </c>
      <c r="H25" s="166">
        <v>0</v>
      </c>
      <c r="I25" s="167">
        <f t="shared" si="3"/>
        <v>0</v>
      </c>
      <c r="J25" s="168" t="s">
        <v>447</v>
      </c>
      <c r="M25" s="169" t="s">
        <v>455</v>
      </c>
    </row>
    <row r="26" spans="1:13" ht="15">
      <c r="A26" s="161">
        <v>15</v>
      </c>
      <c r="B26" s="162">
        <v>46114</v>
      </c>
      <c r="C26" s="163" t="s">
        <v>459</v>
      </c>
      <c r="D26" s="163" t="s">
        <v>102</v>
      </c>
      <c r="E26" s="164">
        <v>4.76</v>
      </c>
      <c r="F26" s="259">
        <v>0</v>
      </c>
      <c r="G26" s="165">
        <f t="shared" si="2"/>
        <v>0</v>
      </c>
      <c r="H26" s="166">
        <v>0</v>
      </c>
      <c r="I26" s="167">
        <f t="shared" si="3"/>
        <v>0</v>
      </c>
      <c r="J26" s="168" t="s">
        <v>447</v>
      </c>
      <c r="M26" s="169" t="s">
        <v>455</v>
      </c>
    </row>
    <row r="27" spans="1:13" ht="15">
      <c r="A27" s="161">
        <v>16</v>
      </c>
      <c r="B27" s="162">
        <v>46363</v>
      </c>
      <c r="C27" s="163" t="s">
        <v>524</v>
      </c>
      <c r="D27" s="163" t="s">
        <v>446</v>
      </c>
      <c r="E27" s="164">
        <v>68</v>
      </c>
      <c r="F27" s="259">
        <v>0</v>
      </c>
      <c r="G27" s="165">
        <f t="shared" si="2"/>
        <v>0</v>
      </c>
      <c r="H27" s="166">
        <v>0</v>
      </c>
      <c r="I27" s="167">
        <f t="shared" si="3"/>
        <v>0</v>
      </c>
      <c r="J27" s="168" t="s">
        <v>447</v>
      </c>
      <c r="M27" s="169" t="s">
        <v>455</v>
      </c>
    </row>
    <row r="28" spans="1:13" ht="15.75" thickBot="1">
      <c r="A28" s="170">
        <v>17</v>
      </c>
      <c r="B28" s="171">
        <v>46221</v>
      </c>
      <c r="C28" s="172" t="s">
        <v>525</v>
      </c>
      <c r="D28" s="172" t="s">
        <v>171</v>
      </c>
      <c r="E28" s="173">
        <v>1.6</v>
      </c>
      <c r="F28" s="260">
        <v>0</v>
      </c>
      <c r="G28" s="174">
        <f t="shared" si="2"/>
        <v>0</v>
      </c>
      <c r="H28" s="175">
        <v>0</v>
      </c>
      <c r="I28" s="176">
        <f t="shared" si="3"/>
        <v>0</v>
      </c>
      <c r="J28" s="177" t="s">
        <v>447</v>
      </c>
      <c r="M28" s="169" t="s">
        <v>455</v>
      </c>
    </row>
    <row r="29" spans="1:13" s="186" customFormat="1" ht="14.25">
      <c r="A29" s="178"/>
      <c r="B29" s="179"/>
      <c r="C29" s="180" t="s">
        <v>450</v>
      </c>
      <c r="D29" s="180"/>
      <c r="E29" s="181"/>
      <c r="F29" s="181"/>
      <c r="G29" s="182">
        <f>SUM(G22:G28)</f>
        <v>0</v>
      </c>
      <c r="H29" s="183"/>
      <c r="I29" s="184">
        <f>SUM(I22:I28)</f>
        <v>0</v>
      </c>
      <c r="J29" s="185"/>
      <c r="M29" s="187" t="s">
        <v>455</v>
      </c>
    </row>
    <row r="30" spans="1:13" s="160" customFormat="1" ht="19.5" customHeight="1">
      <c r="A30" s="188" t="s">
        <v>461</v>
      </c>
      <c r="B30" s="189"/>
      <c r="C30" s="190"/>
      <c r="D30" s="190"/>
      <c r="E30" s="191"/>
      <c r="F30" s="191"/>
      <c r="G30" s="192"/>
      <c r="H30" s="193"/>
      <c r="I30" s="194"/>
      <c r="J30" s="195"/>
      <c r="M30" s="196"/>
    </row>
    <row r="31" spans="1:13" ht="15">
      <c r="A31" s="161">
        <v>18</v>
      </c>
      <c r="B31" s="162">
        <v>210810081</v>
      </c>
      <c r="C31" s="163" t="s">
        <v>526</v>
      </c>
      <c r="D31" s="163" t="s">
        <v>103</v>
      </c>
      <c r="E31" s="164">
        <v>95</v>
      </c>
      <c r="F31" s="259">
        <v>0</v>
      </c>
      <c r="G31" s="165">
        <f aca="true" t="shared" si="4" ref="G31:G39">E31*F31</f>
        <v>0</v>
      </c>
      <c r="H31" s="166">
        <v>0.067</v>
      </c>
      <c r="I31" s="167">
        <f aca="true" t="shared" si="5" ref="I31:I39">E31*H31</f>
        <v>6.365</v>
      </c>
      <c r="J31" s="168" t="s">
        <v>447</v>
      </c>
      <c r="M31" s="169" t="s">
        <v>462</v>
      </c>
    </row>
    <row r="32" spans="1:13" ht="15">
      <c r="A32" s="161">
        <v>19</v>
      </c>
      <c r="B32" s="162">
        <v>210100003</v>
      </c>
      <c r="C32" s="163" t="s">
        <v>527</v>
      </c>
      <c r="D32" s="163" t="s">
        <v>446</v>
      </c>
      <c r="E32" s="164">
        <v>16</v>
      </c>
      <c r="F32" s="259">
        <v>0</v>
      </c>
      <c r="G32" s="165">
        <f t="shared" si="4"/>
        <v>0</v>
      </c>
      <c r="H32" s="166">
        <v>0.077</v>
      </c>
      <c r="I32" s="167">
        <f t="shared" si="5"/>
        <v>1.232</v>
      </c>
      <c r="J32" s="168" t="s">
        <v>447</v>
      </c>
      <c r="K32" s="136" t="s">
        <v>448</v>
      </c>
      <c r="M32" s="169" t="s">
        <v>462</v>
      </c>
    </row>
    <row r="33" spans="1:13" ht="15">
      <c r="A33" s="161">
        <v>20</v>
      </c>
      <c r="B33" s="162">
        <v>210120103</v>
      </c>
      <c r="C33" s="163" t="s">
        <v>528</v>
      </c>
      <c r="D33" s="163" t="s">
        <v>446</v>
      </c>
      <c r="E33" s="164">
        <v>3</v>
      </c>
      <c r="F33" s="259">
        <v>0</v>
      </c>
      <c r="G33" s="165">
        <f t="shared" si="4"/>
        <v>0</v>
      </c>
      <c r="H33" s="166">
        <v>0.016</v>
      </c>
      <c r="I33" s="167">
        <f t="shared" si="5"/>
        <v>0.048</v>
      </c>
      <c r="J33" s="168" t="s">
        <v>447</v>
      </c>
      <c r="M33" s="169" t="s">
        <v>462</v>
      </c>
    </row>
    <row r="34" spans="1:13" ht="15">
      <c r="A34" s="161">
        <v>21</v>
      </c>
      <c r="B34" s="162">
        <v>210191546</v>
      </c>
      <c r="C34" s="163" t="s">
        <v>529</v>
      </c>
      <c r="D34" s="163" t="s">
        <v>446</v>
      </c>
      <c r="E34" s="164">
        <v>1</v>
      </c>
      <c r="F34" s="259">
        <v>0</v>
      </c>
      <c r="G34" s="165">
        <f t="shared" si="4"/>
        <v>0</v>
      </c>
      <c r="H34" s="166">
        <v>2.15</v>
      </c>
      <c r="I34" s="167">
        <f t="shared" si="5"/>
        <v>2.15</v>
      </c>
      <c r="J34" s="168" t="s">
        <v>447</v>
      </c>
      <c r="M34" s="169" t="s">
        <v>462</v>
      </c>
    </row>
    <row r="35" spans="1:13" ht="15">
      <c r="A35" s="161">
        <v>22</v>
      </c>
      <c r="B35" s="162">
        <v>210191546</v>
      </c>
      <c r="C35" s="163" t="s">
        <v>529</v>
      </c>
      <c r="D35" s="163" t="s">
        <v>446</v>
      </c>
      <c r="E35" s="164">
        <v>1</v>
      </c>
      <c r="F35" s="259">
        <v>0</v>
      </c>
      <c r="G35" s="165">
        <f t="shared" si="4"/>
        <v>0</v>
      </c>
      <c r="H35" s="166">
        <v>2.15</v>
      </c>
      <c r="I35" s="167">
        <f t="shared" si="5"/>
        <v>2.15</v>
      </c>
      <c r="J35" s="168" t="s">
        <v>447</v>
      </c>
      <c r="M35" s="169" t="s">
        <v>462</v>
      </c>
    </row>
    <row r="36" spans="1:13" ht="15">
      <c r="A36" s="161">
        <v>23</v>
      </c>
      <c r="B36" s="162">
        <v>210120452</v>
      </c>
      <c r="C36" s="163" t="s">
        <v>530</v>
      </c>
      <c r="D36" s="163" t="s">
        <v>446</v>
      </c>
      <c r="E36" s="164">
        <v>1</v>
      </c>
      <c r="F36" s="259">
        <v>0</v>
      </c>
      <c r="G36" s="165">
        <f t="shared" si="4"/>
        <v>0</v>
      </c>
      <c r="H36" s="166">
        <v>0.577</v>
      </c>
      <c r="I36" s="167">
        <f t="shared" si="5"/>
        <v>0.577</v>
      </c>
      <c r="J36" s="168" t="s">
        <v>447</v>
      </c>
      <c r="M36" s="169" t="s">
        <v>462</v>
      </c>
    </row>
    <row r="37" spans="1:13" ht="15">
      <c r="A37" s="161">
        <v>24</v>
      </c>
      <c r="B37" s="162">
        <v>210120451</v>
      </c>
      <c r="C37" s="163" t="s">
        <v>531</v>
      </c>
      <c r="D37" s="163" t="s">
        <v>446</v>
      </c>
      <c r="E37" s="164">
        <v>1</v>
      </c>
      <c r="F37" s="259">
        <v>0</v>
      </c>
      <c r="G37" s="165">
        <f t="shared" si="4"/>
        <v>0</v>
      </c>
      <c r="H37" s="166">
        <v>0.348</v>
      </c>
      <c r="I37" s="167">
        <f t="shared" si="5"/>
        <v>0.348</v>
      </c>
      <c r="J37" s="168" t="s">
        <v>447</v>
      </c>
      <c r="M37" s="169" t="s">
        <v>462</v>
      </c>
    </row>
    <row r="38" spans="1:13" ht="15">
      <c r="A38" s="161">
        <v>25</v>
      </c>
      <c r="B38" s="162">
        <v>210220025</v>
      </c>
      <c r="C38" s="163" t="s">
        <v>532</v>
      </c>
      <c r="D38" s="163" t="s">
        <v>103</v>
      </c>
      <c r="E38" s="164">
        <v>75</v>
      </c>
      <c r="F38" s="259">
        <v>0</v>
      </c>
      <c r="G38" s="165">
        <f t="shared" si="4"/>
        <v>0</v>
      </c>
      <c r="H38" s="166">
        <v>0.14</v>
      </c>
      <c r="I38" s="167">
        <f t="shared" si="5"/>
        <v>10.500000000000002</v>
      </c>
      <c r="J38" s="168" t="s">
        <v>447</v>
      </c>
      <c r="M38" s="169" t="s">
        <v>462</v>
      </c>
    </row>
    <row r="39" spans="1:13" ht="15.75" thickBot="1">
      <c r="A39" s="170">
        <v>26</v>
      </c>
      <c r="B39" s="171">
        <v>210220441</v>
      </c>
      <c r="C39" s="172" t="s">
        <v>533</v>
      </c>
      <c r="D39" s="172" t="s">
        <v>446</v>
      </c>
      <c r="E39" s="173">
        <v>8</v>
      </c>
      <c r="F39" s="260">
        <v>0</v>
      </c>
      <c r="G39" s="174">
        <f t="shared" si="4"/>
        <v>0</v>
      </c>
      <c r="H39" s="175">
        <v>0.2</v>
      </c>
      <c r="I39" s="176">
        <f t="shared" si="5"/>
        <v>1.6</v>
      </c>
      <c r="J39" s="177" t="s">
        <v>447</v>
      </c>
      <c r="K39" s="136" t="s">
        <v>448</v>
      </c>
      <c r="M39" s="169" t="s">
        <v>462</v>
      </c>
    </row>
    <row r="40" spans="1:13" s="186" customFormat="1" ht="14.25">
      <c r="A40" s="178"/>
      <c r="B40" s="179"/>
      <c r="C40" s="180" t="s">
        <v>450</v>
      </c>
      <c r="D40" s="180"/>
      <c r="E40" s="181"/>
      <c r="F40" s="181"/>
      <c r="G40" s="182">
        <f>SUM(G31:G39)</f>
        <v>0</v>
      </c>
      <c r="H40" s="183"/>
      <c r="I40" s="184">
        <f>SUM(I31:I39)</f>
        <v>24.970000000000006</v>
      </c>
      <c r="J40" s="185"/>
      <c r="M40" s="187" t="s">
        <v>462</v>
      </c>
    </row>
    <row r="41" spans="1:13" s="160" customFormat="1" ht="19.5" customHeight="1">
      <c r="A41" s="188" t="s">
        <v>26</v>
      </c>
      <c r="B41" s="189"/>
      <c r="C41" s="190"/>
      <c r="D41" s="190"/>
      <c r="E41" s="191"/>
      <c r="F41" s="191"/>
      <c r="G41" s="192"/>
      <c r="H41" s="193"/>
      <c r="I41" s="194"/>
      <c r="J41" s="195"/>
      <c r="M41" s="196"/>
    </row>
    <row r="42" spans="1:13" ht="15">
      <c r="A42" s="161">
        <v>27</v>
      </c>
      <c r="B42" s="162">
        <v>460200203</v>
      </c>
      <c r="C42" s="163" t="s">
        <v>534</v>
      </c>
      <c r="D42" s="163" t="s">
        <v>103</v>
      </c>
      <c r="E42" s="164">
        <v>75</v>
      </c>
      <c r="F42" s="259">
        <v>0</v>
      </c>
      <c r="G42" s="165">
        <f aca="true" t="shared" si="6" ref="G42:G56">E42*F42</f>
        <v>0</v>
      </c>
      <c r="H42" s="166">
        <v>0.133</v>
      </c>
      <c r="I42" s="167">
        <f aca="true" t="shared" si="7" ref="I42:I56">E42*H42</f>
        <v>9.975000000000001</v>
      </c>
      <c r="J42" s="168" t="s">
        <v>447</v>
      </c>
      <c r="K42" s="136" t="s">
        <v>448</v>
      </c>
      <c r="M42" s="169" t="s">
        <v>464</v>
      </c>
    </row>
    <row r="43" spans="1:13" ht="15">
      <c r="A43" s="161">
        <v>28</v>
      </c>
      <c r="B43" s="162">
        <v>460560203</v>
      </c>
      <c r="C43" s="163" t="s">
        <v>535</v>
      </c>
      <c r="D43" s="163" t="s">
        <v>103</v>
      </c>
      <c r="E43" s="164">
        <v>75</v>
      </c>
      <c r="F43" s="259">
        <v>0</v>
      </c>
      <c r="G43" s="165">
        <f t="shared" si="6"/>
        <v>0</v>
      </c>
      <c r="H43" s="166">
        <v>0.046</v>
      </c>
      <c r="I43" s="167">
        <f t="shared" si="7"/>
        <v>3.4499999999999997</v>
      </c>
      <c r="J43" s="168" t="s">
        <v>447</v>
      </c>
      <c r="M43" s="169" t="s">
        <v>464</v>
      </c>
    </row>
    <row r="44" spans="1:13" ht="15">
      <c r="A44" s="161">
        <v>29</v>
      </c>
      <c r="B44" s="162">
        <v>460620013</v>
      </c>
      <c r="C44" s="163" t="s">
        <v>467</v>
      </c>
      <c r="D44" s="163" t="s">
        <v>101</v>
      </c>
      <c r="E44" s="164">
        <v>26.25</v>
      </c>
      <c r="F44" s="259">
        <v>0</v>
      </c>
      <c r="G44" s="165">
        <f t="shared" si="6"/>
        <v>0</v>
      </c>
      <c r="H44" s="166">
        <v>0.03</v>
      </c>
      <c r="I44" s="167">
        <f t="shared" si="7"/>
        <v>0.7875</v>
      </c>
      <c r="J44" s="168" t="s">
        <v>447</v>
      </c>
      <c r="M44" s="169" t="s">
        <v>464</v>
      </c>
    </row>
    <row r="45" spans="1:13" ht="15">
      <c r="A45" s="161">
        <v>30</v>
      </c>
      <c r="B45" s="162">
        <v>460200683</v>
      </c>
      <c r="C45" s="163" t="s">
        <v>536</v>
      </c>
      <c r="D45" s="163" t="s">
        <v>103</v>
      </c>
      <c r="E45" s="164">
        <v>17</v>
      </c>
      <c r="F45" s="259">
        <v>0</v>
      </c>
      <c r="G45" s="165">
        <f t="shared" si="6"/>
        <v>0</v>
      </c>
      <c r="H45" s="166">
        <v>0.978</v>
      </c>
      <c r="I45" s="167">
        <f t="shared" si="7"/>
        <v>16.626</v>
      </c>
      <c r="J45" s="168" t="s">
        <v>447</v>
      </c>
      <c r="K45" s="136" t="s">
        <v>448</v>
      </c>
      <c r="M45" s="169" t="s">
        <v>464</v>
      </c>
    </row>
    <row r="46" spans="1:13" ht="15">
      <c r="A46" s="161">
        <v>31</v>
      </c>
      <c r="B46" s="162">
        <v>460490012</v>
      </c>
      <c r="C46" s="163" t="s">
        <v>470</v>
      </c>
      <c r="D46" s="163" t="s">
        <v>103</v>
      </c>
      <c r="E46" s="164">
        <v>34</v>
      </c>
      <c r="F46" s="259">
        <v>0</v>
      </c>
      <c r="G46" s="165">
        <f t="shared" si="6"/>
        <v>0</v>
      </c>
      <c r="H46" s="166">
        <v>0.026</v>
      </c>
      <c r="I46" s="167">
        <f t="shared" si="7"/>
        <v>0.884</v>
      </c>
      <c r="J46" s="168" t="s">
        <v>447</v>
      </c>
      <c r="M46" s="169" t="s">
        <v>464</v>
      </c>
    </row>
    <row r="47" spans="1:13" ht="15">
      <c r="A47" s="161">
        <v>32</v>
      </c>
      <c r="B47" s="162">
        <v>460510021</v>
      </c>
      <c r="C47" s="163" t="s">
        <v>466</v>
      </c>
      <c r="D47" s="163" t="s">
        <v>103</v>
      </c>
      <c r="E47" s="164">
        <v>17</v>
      </c>
      <c r="F47" s="259">
        <v>0</v>
      </c>
      <c r="G47" s="165">
        <f t="shared" si="6"/>
        <v>0</v>
      </c>
      <c r="H47" s="166">
        <v>0.059</v>
      </c>
      <c r="I47" s="167">
        <f t="shared" si="7"/>
        <v>1.003</v>
      </c>
      <c r="J47" s="168" t="s">
        <v>447</v>
      </c>
      <c r="M47" s="169" t="s">
        <v>464</v>
      </c>
    </row>
    <row r="48" spans="1:13" ht="15">
      <c r="A48" s="161">
        <v>33</v>
      </c>
      <c r="B48" s="162">
        <v>460600001</v>
      </c>
      <c r="C48" s="163" t="s">
        <v>465</v>
      </c>
      <c r="D48" s="163" t="s">
        <v>102</v>
      </c>
      <c r="E48" s="164">
        <v>13.26</v>
      </c>
      <c r="F48" s="259">
        <v>0</v>
      </c>
      <c r="G48" s="165">
        <f t="shared" si="6"/>
        <v>0</v>
      </c>
      <c r="H48" s="166">
        <v>2.28</v>
      </c>
      <c r="I48" s="167">
        <f t="shared" si="7"/>
        <v>30.232799999999997</v>
      </c>
      <c r="J48" s="168" t="s">
        <v>447</v>
      </c>
      <c r="M48" s="169" t="s">
        <v>464</v>
      </c>
    </row>
    <row r="49" spans="1:13" ht="15">
      <c r="A49" s="161">
        <v>34</v>
      </c>
      <c r="B49" s="162">
        <v>460620013</v>
      </c>
      <c r="C49" s="163" t="s">
        <v>467</v>
      </c>
      <c r="D49" s="163" t="s">
        <v>101</v>
      </c>
      <c r="E49" s="164">
        <v>11.05</v>
      </c>
      <c r="F49" s="259">
        <v>0</v>
      </c>
      <c r="G49" s="165">
        <f t="shared" si="6"/>
        <v>0</v>
      </c>
      <c r="H49" s="166">
        <v>0.112</v>
      </c>
      <c r="I49" s="167">
        <f t="shared" si="7"/>
        <v>1.2376</v>
      </c>
      <c r="J49" s="168" t="s">
        <v>447</v>
      </c>
      <c r="M49" s="169" t="s">
        <v>464</v>
      </c>
    </row>
    <row r="50" spans="1:13" ht="15">
      <c r="A50" s="161">
        <v>35</v>
      </c>
      <c r="B50" s="162">
        <v>460650015</v>
      </c>
      <c r="C50" s="163" t="s">
        <v>468</v>
      </c>
      <c r="D50" s="163" t="s">
        <v>102</v>
      </c>
      <c r="E50" s="164">
        <v>10.81</v>
      </c>
      <c r="F50" s="259">
        <v>0</v>
      </c>
      <c r="G50" s="165">
        <f t="shared" si="6"/>
        <v>0</v>
      </c>
      <c r="H50" s="166">
        <v>0.405</v>
      </c>
      <c r="I50" s="167">
        <f t="shared" si="7"/>
        <v>4.378050000000001</v>
      </c>
      <c r="J50" s="168" t="s">
        <v>447</v>
      </c>
      <c r="M50" s="169" t="s">
        <v>464</v>
      </c>
    </row>
    <row r="51" spans="1:13" ht="15">
      <c r="A51" s="161">
        <v>36</v>
      </c>
      <c r="B51" s="162">
        <v>460650017</v>
      </c>
      <c r="C51" s="163" t="s">
        <v>469</v>
      </c>
      <c r="D51" s="163" t="s">
        <v>102</v>
      </c>
      <c r="E51" s="164">
        <v>2.28</v>
      </c>
      <c r="F51" s="259">
        <v>0</v>
      </c>
      <c r="G51" s="165">
        <f t="shared" si="6"/>
        <v>0</v>
      </c>
      <c r="H51" s="166">
        <v>2.56</v>
      </c>
      <c r="I51" s="167">
        <f t="shared" si="7"/>
        <v>5.836799999999999</v>
      </c>
      <c r="J51" s="168" t="s">
        <v>447</v>
      </c>
      <c r="M51" s="169" t="s">
        <v>464</v>
      </c>
    </row>
    <row r="52" spans="1:13" ht="15">
      <c r="A52" s="161">
        <v>37</v>
      </c>
      <c r="B52" s="162">
        <v>460200163</v>
      </c>
      <c r="C52" s="163" t="s">
        <v>537</v>
      </c>
      <c r="D52" s="163" t="s">
        <v>103</v>
      </c>
      <c r="E52" s="164">
        <v>68</v>
      </c>
      <c r="F52" s="259">
        <v>0</v>
      </c>
      <c r="G52" s="165">
        <f t="shared" si="6"/>
        <v>0</v>
      </c>
      <c r="H52" s="166">
        <v>0.407</v>
      </c>
      <c r="I52" s="167">
        <f t="shared" si="7"/>
        <v>27.676</v>
      </c>
      <c r="J52" s="168" t="s">
        <v>447</v>
      </c>
      <c r="K52" s="136" t="s">
        <v>448</v>
      </c>
      <c r="M52" s="169" t="s">
        <v>464</v>
      </c>
    </row>
    <row r="53" spans="1:13" ht="15">
      <c r="A53" s="161">
        <v>38</v>
      </c>
      <c r="B53" s="162">
        <v>460420488</v>
      </c>
      <c r="C53" s="163" t="s">
        <v>538</v>
      </c>
      <c r="D53" s="163" t="s">
        <v>103</v>
      </c>
      <c r="E53" s="164">
        <v>68</v>
      </c>
      <c r="F53" s="259">
        <v>0</v>
      </c>
      <c r="G53" s="165">
        <f t="shared" si="6"/>
        <v>0</v>
      </c>
      <c r="H53" s="166">
        <v>0.101</v>
      </c>
      <c r="I53" s="167">
        <f t="shared" si="7"/>
        <v>6.868</v>
      </c>
      <c r="J53" s="168" t="s">
        <v>447</v>
      </c>
      <c r="M53" s="169" t="s">
        <v>464</v>
      </c>
    </row>
    <row r="54" spans="1:13" ht="15">
      <c r="A54" s="161">
        <v>39</v>
      </c>
      <c r="B54" s="162">
        <v>460560163</v>
      </c>
      <c r="C54" s="163" t="s">
        <v>539</v>
      </c>
      <c r="D54" s="163" t="s">
        <v>103</v>
      </c>
      <c r="E54" s="164">
        <v>68</v>
      </c>
      <c r="F54" s="259">
        <v>0</v>
      </c>
      <c r="G54" s="165">
        <f t="shared" si="6"/>
        <v>0</v>
      </c>
      <c r="H54" s="166">
        <v>0.128</v>
      </c>
      <c r="I54" s="167">
        <f t="shared" si="7"/>
        <v>8.704</v>
      </c>
      <c r="J54" s="168" t="s">
        <v>447</v>
      </c>
      <c r="M54" s="169" t="s">
        <v>464</v>
      </c>
    </row>
    <row r="55" spans="1:13" ht="15">
      <c r="A55" s="161">
        <v>40</v>
      </c>
      <c r="B55" s="162">
        <v>460600001</v>
      </c>
      <c r="C55" s="163" t="s">
        <v>465</v>
      </c>
      <c r="D55" s="163" t="s">
        <v>102</v>
      </c>
      <c r="E55" s="164">
        <v>4.76</v>
      </c>
      <c r="F55" s="259">
        <v>0</v>
      </c>
      <c r="G55" s="165">
        <f t="shared" si="6"/>
        <v>0</v>
      </c>
      <c r="H55" s="166">
        <v>2.28</v>
      </c>
      <c r="I55" s="167">
        <f t="shared" si="7"/>
        <v>10.852799999999998</v>
      </c>
      <c r="J55" s="168" t="s">
        <v>447</v>
      </c>
      <c r="M55" s="169" t="s">
        <v>464</v>
      </c>
    </row>
    <row r="56" spans="1:13" ht="15.75" thickBot="1">
      <c r="A56" s="170">
        <v>41</v>
      </c>
      <c r="B56" s="171">
        <v>460620013</v>
      </c>
      <c r="C56" s="172" t="s">
        <v>467</v>
      </c>
      <c r="D56" s="172" t="s">
        <v>101</v>
      </c>
      <c r="E56" s="173">
        <v>23.8</v>
      </c>
      <c r="F56" s="260">
        <v>0</v>
      </c>
      <c r="G56" s="174">
        <f t="shared" si="6"/>
        <v>0</v>
      </c>
      <c r="H56" s="175">
        <v>0.112</v>
      </c>
      <c r="I56" s="176">
        <f t="shared" si="7"/>
        <v>2.6656</v>
      </c>
      <c r="J56" s="177" t="s">
        <v>447</v>
      </c>
      <c r="M56" s="169" t="s">
        <v>464</v>
      </c>
    </row>
    <row r="57" spans="1:13" s="186" customFormat="1" ht="14.25">
      <c r="A57" s="178"/>
      <c r="B57" s="179"/>
      <c r="C57" s="180" t="s">
        <v>450</v>
      </c>
      <c r="D57" s="180"/>
      <c r="E57" s="181"/>
      <c r="F57" s="181"/>
      <c r="G57" s="182">
        <f>SUM(G42:G56)</f>
        <v>0</v>
      </c>
      <c r="H57" s="183"/>
      <c r="I57" s="184">
        <f>SUM(I42:I56)</f>
        <v>131.17715</v>
      </c>
      <c r="J57" s="185"/>
      <c r="M57" s="187" t="s">
        <v>464</v>
      </c>
    </row>
    <row r="58" spans="1:13" s="160" customFormat="1" ht="19.5" customHeight="1">
      <c r="A58" s="188" t="s">
        <v>540</v>
      </c>
      <c r="B58" s="189"/>
      <c r="C58" s="190"/>
      <c r="D58" s="190"/>
      <c r="E58" s="191"/>
      <c r="F58" s="191"/>
      <c r="G58" s="192"/>
      <c r="H58" s="193"/>
      <c r="I58" s="194"/>
      <c r="J58" s="195"/>
      <c r="M58" s="196"/>
    </row>
    <row r="59" spans="1:13" ht="15.75" thickBot="1">
      <c r="A59" s="170">
        <v>42</v>
      </c>
      <c r="B59" s="171">
        <v>1031</v>
      </c>
      <c r="C59" s="172" t="s">
        <v>541</v>
      </c>
      <c r="D59" s="172" t="s">
        <v>446</v>
      </c>
      <c r="E59" s="173">
        <v>1</v>
      </c>
      <c r="F59" s="260">
        <v>0</v>
      </c>
      <c r="G59" s="174">
        <f>E59*F59</f>
        <v>0</v>
      </c>
      <c r="H59" s="175">
        <v>0</v>
      </c>
      <c r="I59" s="176">
        <f>E59*H59</f>
        <v>0</v>
      </c>
      <c r="J59" s="177" t="s">
        <v>447</v>
      </c>
      <c r="M59" s="169" t="s">
        <v>542</v>
      </c>
    </row>
    <row r="60" spans="1:13" s="186" customFormat="1" ht="15" thickBot="1">
      <c r="A60" s="197"/>
      <c r="B60" s="198"/>
      <c r="C60" s="199" t="s">
        <v>450</v>
      </c>
      <c r="D60" s="199"/>
      <c r="E60" s="200"/>
      <c r="F60" s="200"/>
      <c r="G60" s="201">
        <f>SUM(G59:G59)</f>
        <v>0</v>
      </c>
      <c r="H60" s="202"/>
      <c r="I60" s="203">
        <f>SUM(I59:I59)</f>
        <v>0</v>
      </c>
      <c r="J60" s="204"/>
      <c r="M60" s="186" t="s">
        <v>542</v>
      </c>
    </row>
    <row r="61" spans="2:9" ht="15">
      <c r="B61" s="205"/>
      <c r="E61" s="206"/>
      <c r="F61" s="206"/>
      <c r="G61" s="207"/>
      <c r="H61" s="208"/>
      <c r="I61" s="209"/>
    </row>
    <row r="62" spans="2:9" ht="15">
      <c r="B62" s="205"/>
      <c r="E62" s="206"/>
      <c r="F62" s="206"/>
      <c r="G62" s="207"/>
      <c r="H62" s="208"/>
      <c r="I62" s="209"/>
    </row>
    <row r="63" spans="2:9" ht="15">
      <c r="B63" s="205"/>
      <c r="E63" s="206"/>
      <c r="F63" s="206"/>
      <c r="G63" s="207"/>
      <c r="H63" s="208"/>
      <c r="I63" s="209"/>
    </row>
    <row r="64" spans="2:9" ht="15">
      <c r="B64" s="205"/>
      <c r="E64" s="206"/>
      <c r="F64" s="206"/>
      <c r="G64" s="207"/>
      <c r="H64" s="208"/>
      <c r="I64" s="209"/>
    </row>
    <row r="65" spans="2:9" ht="15">
      <c r="B65" s="205"/>
      <c r="E65" s="206"/>
      <c r="F65" s="206"/>
      <c r="G65" s="207"/>
      <c r="H65" s="208"/>
      <c r="I65" s="209"/>
    </row>
    <row r="66" spans="2:9" ht="15">
      <c r="B66" s="205"/>
      <c r="E66" s="206"/>
      <c r="F66" s="206"/>
      <c r="G66" s="207"/>
      <c r="H66" s="208"/>
      <c r="I66" s="209"/>
    </row>
    <row r="67" spans="2:9" ht="15">
      <c r="B67" s="205"/>
      <c r="E67" s="206"/>
      <c r="F67" s="206"/>
      <c r="G67" s="207"/>
      <c r="H67" s="208"/>
      <c r="I67" s="209"/>
    </row>
    <row r="68" spans="2:9" ht="15">
      <c r="B68" s="205"/>
      <c r="E68" s="206"/>
      <c r="F68" s="206"/>
      <c r="G68" s="207"/>
      <c r="H68" s="208"/>
      <c r="I68" s="209"/>
    </row>
    <row r="69" spans="2:9" ht="15">
      <c r="B69" s="205"/>
      <c r="E69" s="206"/>
      <c r="F69" s="206"/>
      <c r="G69" s="207"/>
      <c r="H69" s="208"/>
      <c r="I69" s="209"/>
    </row>
    <row r="70" spans="2:9" ht="15">
      <c r="B70" s="205"/>
      <c r="E70" s="206"/>
      <c r="F70" s="206"/>
      <c r="G70" s="207"/>
      <c r="H70" s="208"/>
      <c r="I70" s="209"/>
    </row>
    <row r="71" spans="2:9" ht="15">
      <c r="B71" s="205"/>
      <c r="E71" s="206"/>
      <c r="F71" s="206"/>
      <c r="G71" s="207"/>
      <c r="H71" s="208"/>
      <c r="I71" s="209"/>
    </row>
    <row r="72" spans="2:9" ht="15">
      <c r="B72" s="205"/>
      <c r="E72" s="206"/>
      <c r="F72" s="206"/>
      <c r="G72" s="207"/>
      <c r="H72" s="208"/>
      <c r="I72" s="209"/>
    </row>
    <row r="73" spans="2:9" ht="15">
      <c r="B73" s="205"/>
      <c r="E73" s="206"/>
      <c r="F73" s="206"/>
      <c r="G73" s="207"/>
      <c r="H73" s="208"/>
      <c r="I73" s="209"/>
    </row>
    <row r="74" spans="2:9" ht="15">
      <c r="B74" s="205"/>
      <c r="E74" s="206"/>
      <c r="F74" s="206"/>
      <c r="G74" s="207"/>
      <c r="H74" s="208"/>
      <c r="I74" s="209"/>
    </row>
    <row r="75" spans="2:9" ht="15">
      <c r="B75" s="205"/>
      <c r="E75" s="206"/>
      <c r="F75" s="206"/>
      <c r="G75" s="207"/>
      <c r="H75" s="208"/>
      <c r="I75" s="209"/>
    </row>
    <row r="76" spans="2:9" ht="15">
      <c r="B76" s="205"/>
      <c r="E76" s="206"/>
      <c r="F76" s="206"/>
      <c r="G76" s="207"/>
      <c r="H76" s="208"/>
      <c r="I76" s="209"/>
    </row>
    <row r="77" spans="2:9" ht="15">
      <c r="B77" s="205"/>
      <c r="E77" s="206"/>
      <c r="F77" s="206"/>
      <c r="G77" s="207"/>
      <c r="H77" s="208"/>
      <c r="I77" s="209"/>
    </row>
    <row r="78" spans="2:9" ht="15">
      <c r="B78" s="205"/>
      <c r="E78" s="206"/>
      <c r="F78" s="206"/>
      <c r="G78" s="207"/>
      <c r="H78" s="208"/>
      <c r="I78" s="209"/>
    </row>
  </sheetData>
  <sheetProtection sheet="1" objects="1" scenarios="1" selectLockedCells="1"/>
  <mergeCells count="3">
    <mergeCell ref="A1:I1"/>
    <mergeCell ref="A2:I2"/>
    <mergeCell ref="A3:I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85" zoomScaleNormal="85" zoomScalePageLayoutView="0" workbookViewId="0" topLeftCell="A1">
      <selection activeCell="D9" sqref="D9"/>
    </sheetView>
  </sheetViews>
  <sheetFormatPr defaultColWidth="9.140625" defaultRowHeight="12.75"/>
  <cols>
    <col min="1" max="1" width="4.7109375" style="136" customWidth="1"/>
    <col min="2" max="2" width="10.7109375" style="136" customWidth="1"/>
    <col min="3" max="3" width="30.7109375" style="136" customWidth="1"/>
    <col min="4" max="4" width="5.140625" style="206" customWidth="1"/>
    <col min="5" max="5" width="10.8515625" style="210" customWidth="1"/>
    <col min="6" max="6" width="16.7109375" style="211" customWidth="1"/>
    <col min="7" max="8" width="9.140625" style="136" hidden="1" customWidth="1"/>
    <col min="9" max="9" width="0" style="136" hidden="1" customWidth="1"/>
    <col min="10" max="16384" width="9.140625" style="136" customWidth="1"/>
  </cols>
  <sheetData>
    <row r="1" ht="15.75">
      <c r="A1" s="248" t="s">
        <v>92</v>
      </c>
    </row>
    <row r="2" ht="15.75">
      <c r="A2" s="248" t="s">
        <v>559</v>
      </c>
    </row>
    <row r="3" spans="1:3" ht="15.75">
      <c r="A3" s="248" t="s">
        <v>499</v>
      </c>
      <c r="B3" s="139"/>
      <c r="C3" s="139"/>
    </row>
    <row r="4" spans="1:3" ht="15.75" thickBot="1">
      <c r="A4" s="212"/>
      <c r="B4" s="139"/>
      <c r="C4" s="139"/>
    </row>
    <row r="5" spans="1:6" s="143" customFormat="1" ht="21" thickBot="1">
      <c r="A5" s="213" t="s">
        <v>471</v>
      </c>
      <c r="B5" s="214"/>
      <c r="C5" s="214"/>
      <c r="D5" s="215"/>
      <c r="E5" s="216"/>
      <c r="F5" s="217"/>
    </row>
    <row r="6" spans="1:6" ht="15.75" thickBot="1">
      <c r="A6" s="218" t="s">
        <v>433</v>
      </c>
      <c r="B6" s="219"/>
      <c r="C6" s="219"/>
      <c r="D6" s="220" t="s">
        <v>472</v>
      </c>
      <c r="E6" s="221" t="s">
        <v>473</v>
      </c>
      <c r="F6" s="222" t="s">
        <v>474</v>
      </c>
    </row>
    <row r="7" spans="1:8" ht="15">
      <c r="A7" s="223">
        <v>1</v>
      </c>
      <c r="B7" s="224" t="s">
        <v>475</v>
      </c>
      <c r="C7" s="224"/>
      <c r="D7" s="227"/>
      <c r="E7" s="225"/>
      <c r="F7" s="226">
        <f>'SO403-soupis položek'!G11</f>
        <v>0</v>
      </c>
      <c r="H7" s="136">
        <v>9</v>
      </c>
    </row>
    <row r="8" spans="1:8" ht="15">
      <c r="A8" s="223">
        <v>2</v>
      </c>
      <c r="B8" s="224" t="s">
        <v>476</v>
      </c>
      <c r="C8" s="224"/>
      <c r="D8" s="257">
        <v>0</v>
      </c>
      <c r="E8" s="225">
        <f>SUM(F7:F7)</f>
        <v>0</v>
      </c>
      <c r="F8" s="226">
        <f>D8*E8/100</f>
        <v>0</v>
      </c>
      <c r="H8" s="136">
        <v>10</v>
      </c>
    </row>
    <row r="9" spans="1:8" ht="15">
      <c r="A9" s="223">
        <v>3</v>
      </c>
      <c r="B9" s="224" t="s">
        <v>477</v>
      </c>
      <c r="C9" s="224"/>
      <c r="D9" s="257">
        <v>0</v>
      </c>
      <c r="E9" s="225">
        <f>SUM(F7:F7)</f>
        <v>0</v>
      </c>
      <c r="F9" s="226">
        <f>D9*E9/100</f>
        <v>0</v>
      </c>
      <c r="H9" s="136">
        <v>12</v>
      </c>
    </row>
    <row r="10" spans="1:8" ht="15">
      <c r="A10" s="223">
        <v>4</v>
      </c>
      <c r="B10" s="224" t="s">
        <v>478</v>
      </c>
      <c r="C10" s="224"/>
      <c r="D10" s="227"/>
      <c r="E10" s="225"/>
      <c r="F10" s="226">
        <f>'SO403-soupis položek'!G21</f>
        <v>0</v>
      </c>
      <c r="H10" s="136">
        <v>13</v>
      </c>
    </row>
    <row r="11" spans="1:8" ht="15">
      <c r="A11" s="223">
        <v>5</v>
      </c>
      <c r="B11" s="224" t="s">
        <v>479</v>
      </c>
      <c r="C11" s="224"/>
      <c r="D11" s="257">
        <v>0</v>
      </c>
      <c r="E11" s="225">
        <f>'SO403-soupis položek'!G13+'SO403-soupis položek'!G16+'SO403-soupis položek'!G18</f>
        <v>0</v>
      </c>
      <c r="F11" s="226">
        <f>D11*E11/100</f>
        <v>0</v>
      </c>
      <c r="H11" s="136">
        <v>14</v>
      </c>
    </row>
    <row r="12" spans="1:8" ht="15">
      <c r="A12" s="223">
        <v>6</v>
      </c>
      <c r="B12" s="224" t="s">
        <v>480</v>
      </c>
      <c r="C12" s="224"/>
      <c r="D12" s="257">
        <v>0</v>
      </c>
      <c r="E12" s="225">
        <f>SUM(F10:F10)</f>
        <v>0</v>
      </c>
      <c r="F12" s="226">
        <f>D12*E12/100</f>
        <v>0</v>
      </c>
      <c r="H12" s="136">
        <v>15</v>
      </c>
    </row>
    <row r="13" spans="1:8" ht="15">
      <c r="A13" s="223">
        <v>7</v>
      </c>
      <c r="B13" s="224" t="s">
        <v>481</v>
      </c>
      <c r="C13" s="224"/>
      <c r="D13" s="227"/>
      <c r="E13" s="225"/>
      <c r="F13" s="226">
        <f>'SO403-soupis položek'!G28</f>
        <v>0</v>
      </c>
      <c r="H13" s="136">
        <v>17</v>
      </c>
    </row>
    <row r="14" spans="1:8" ht="15">
      <c r="A14" s="223">
        <v>8</v>
      </c>
      <c r="B14" s="224" t="s">
        <v>482</v>
      </c>
      <c r="C14" s="224"/>
      <c r="D14" s="227"/>
      <c r="E14" s="225"/>
      <c r="F14" s="226">
        <f>'SO403-soupis položek'!G40</f>
        <v>0</v>
      </c>
      <c r="G14" s="211">
        <f>SUM(F10:F12)</f>
        <v>0</v>
      </c>
      <c r="H14" s="136">
        <v>18</v>
      </c>
    </row>
    <row r="15" spans="1:8" ht="15">
      <c r="A15" s="223">
        <v>9</v>
      </c>
      <c r="B15" s="224" t="s">
        <v>483</v>
      </c>
      <c r="C15" s="224"/>
      <c r="D15" s="227"/>
      <c r="E15" s="225"/>
      <c r="F15" s="226">
        <f>'SO403-soupis položek'!G52</f>
        <v>0</v>
      </c>
      <c r="G15" s="211">
        <f>SUM(F13:F13)</f>
        <v>0</v>
      </c>
      <c r="H15" s="136">
        <v>21</v>
      </c>
    </row>
    <row r="16" spans="1:8" ht="15">
      <c r="A16" s="223">
        <v>10</v>
      </c>
      <c r="B16" s="224" t="s">
        <v>484</v>
      </c>
      <c r="C16" s="224"/>
      <c r="D16" s="257">
        <v>0</v>
      </c>
      <c r="E16" s="225">
        <f>SUM(F14:G14)</f>
        <v>0</v>
      </c>
      <c r="F16" s="226">
        <f>D16*E16/100</f>
        <v>0</v>
      </c>
      <c r="H16" s="136">
        <v>22</v>
      </c>
    </row>
    <row r="17" spans="1:8" ht="15.75" thickBot="1">
      <c r="A17" s="223">
        <v>11</v>
      </c>
      <c r="B17" s="224" t="s">
        <v>485</v>
      </c>
      <c r="C17" s="224"/>
      <c r="D17" s="257">
        <v>0</v>
      </c>
      <c r="E17" s="225">
        <f>SUM(F15:G15)</f>
        <v>0</v>
      </c>
      <c r="F17" s="226">
        <f>D17*E17/100</f>
        <v>0</v>
      </c>
      <c r="H17" s="136">
        <v>23</v>
      </c>
    </row>
    <row r="18" spans="1:8" ht="15">
      <c r="A18" s="228">
        <v>12</v>
      </c>
      <c r="B18" s="229" t="s">
        <v>486</v>
      </c>
      <c r="C18" s="229"/>
      <c r="D18" s="230"/>
      <c r="E18" s="231"/>
      <c r="F18" s="232">
        <f>SUM(F7:F8)</f>
        <v>0</v>
      </c>
      <c r="H18" s="136">
        <v>25</v>
      </c>
    </row>
    <row r="19" spans="1:8" ht="15.75" thickBot="1">
      <c r="A19" s="223">
        <v>13</v>
      </c>
      <c r="B19" s="224" t="s">
        <v>487</v>
      </c>
      <c r="C19" s="224"/>
      <c r="D19" s="227"/>
      <c r="E19" s="225"/>
      <c r="F19" s="226">
        <f>SUM(F9:F17)</f>
        <v>0</v>
      </c>
      <c r="H19" s="136">
        <v>26</v>
      </c>
    </row>
    <row r="20" spans="1:8" ht="15">
      <c r="A20" s="233">
        <v>14</v>
      </c>
      <c r="B20" s="234" t="s">
        <v>488</v>
      </c>
      <c r="C20" s="234"/>
      <c r="D20" s="235"/>
      <c r="E20" s="236"/>
      <c r="F20" s="237">
        <f>SUM(F18:F19)</f>
        <v>0</v>
      </c>
      <c r="G20" s="211">
        <f>SUM(F20:F20)</f>
        <v>0</v>
      </c>
      <c r="H20" s="136">
        <v>28</v>
      </c>
    </row>
    <row r="21" spans="1:6" ht="15">
      <c r="A21" s="238"/>
      <c r="B21" s="239"/>
      <c r="C21" s="239"/>
      <c r="D21" s="240"/>
      <c r="E21" s="241"/>
      <c r="F21" s="242"/>
    </row>
    <row r="22" spans="1:8" ht="15">
      <c r="A22" s="223">
        <v>15</v>
      </c>
      <c r="B22" s="224" t="s">
        <v>489</v>
      </c>
      <c r="C22" s="224"/>
      <c r="D22" s="257">
        <v>0</v>
      </c>
      <c r="E22" s="225">
        <f>SUM(F19:F19)</f>
        <v>0</v>
      </c>
      <c r="F22" s="226">
        <f>D22*E22/100</f>
        <v>0</v>
      </c>
      <c r="H22" s="136">
        <v>30</v>
      </c>
    </row>
    <row r="23" spans="1:8" ht="15.75" thickBot="1">
      <c r="A23" s="223">
        <v>16</v>
      </c>
      <c r="B23" s="224" t="s">
        <v>490</v>
      </c>
      <c r="C23" s="224"/>
      <c r="D23" s="257">
        <v>0</v>
      </c>
      <c r="E23" s="225">
        <f>SUM(F19:F19)</f>
        <v>0</v>
      </c>
      <c r="F23" s="226">
        <f>D23*E23/100</f>
        <v>0</v>
      </c>
      <c r="H23" s="136">
        <v>31</v>
      </c>
    </row>
    <row r="24" spans="1:8" ht="15">
      <c r="A24" s="233">
        <v>17</v>
      </c>
      <c r="B24" s="234" t="s">
        <v>491</v>
      </c>
      <c r="C24" s="234"/>
      <c r="D24" s="235"/>
      <c r="E24" s="236"/>
      <c r="F24" s="237">
        <f>SUM(F22:F23)</f>
        <v>0</v>
      </c>
      <c r="G24" s="211">
        <f>SUM(F24:F24)</f>
        <v>0</v>
      </c>
      <c r="H24" s="136">
        <v>33</v>
      </c>
    </row>
    <row r="25" spans="1:6" ht="15">
      <c r="A25" s="238"/>
      <c r="B25" s="239"/>
      <c r="C25" s="239"/>
      <c r="D25" s="240"/>
      <c r="E25" s="241"/>
      <c r="F25" s="242"/>
    </row>
    <row r="26" spans="1:8" ht="15">
      <c r="A26" s="223">
        <v>18</v>
      </c>
      <c r="B26" s="224" t="s">
        <v>492</v>
      </c>
      <c r="C26" s="224"/>
      <c r="D26" s="227"/>
      <c r="E26" s="225"/>
      <c r="F26" s="258">
        <v>0</v>
      </c>
      <c r="H26" s="136">
        <v>35</v>
      </c>
    </row>
    <row r="27" spans="1:8" ht="15">
      <c r="A27" s="223">
        <v>19</v>
      </c>
      <c r="B27" s="224" t="s">
        <v>493</v>
      </c>
      <c r="C27" s="224"/>
      <c r="D27" s="227"/>
      <c r="E27" s="225"/>
      <c r="F27" s="258">
        <v>0</v>
      </c>
      <c r="H27" s="136">
        <v>36</v>
      </c>
    </row>
    <row r="28" spans="1:8" ht="15">
      <c r="A28" s="223">
        <v>20</v>
      </c>
      <c r="B28" s="224" t="s">
        <v>544</v>
      </c>
      <c r="C28" s="224"/>
      <c r="D28" s="227"/>
      <c r="E28" s="225"/>
      <c r="F28" s="226">
        <f>'SO403-soupis položek'!G55</f>
        <v>0</v>
      </c>
      <c r="H28" s="136">
        <v>38</v>
      </c>
    </row>
    <row r="29" spans="1:8" ht="15.75" thickBot="1">
      <c r="A29" s="223">
        <v>21</v>
      </c>
      <c r="B29" s="224" t="s">
        <v>494</v>
      </c>
      <c r="C29" s="224"/>
      <c r="D29" s="227"/>
      <c r="E29" s="225"/>
      <c r="F29" s="258">
        <v>0</v>
      </c>
      <c r="H29" s="136">
        <v>39</v>
      </c>
    </row>
    <row r="30" spans="1:8" ht="15">
      <c r="A30" s="233">
        <v>22</v>
      </c>
      <c r="B30" s="234" t="s">
        <v>495</v>
      </c>
      <c r="C30" s="234"/>
      <c r="D30" s="235"/>
      <c r="E30" s="236"/>
      <c r="F30" s="237">
        <f>SUM(F26:F29)</f>
        <v>0</v>
      </c>
      <c r="G30" s="211">
        <f>SUM(F30:F30)</f>
        <v>0</v>
      </c>
      <c r="H30" s="136">
        <v>41</v>
      </c>
    </row>
    <row r="31" spans="1:6" ht="15">
      <c r="A31" s="238"/>
      <c r="B31" s="239"/>
      <c r="C31" s="239"/>
      <c r="D31" s="240"/>
      <c r="E31" s="241"/>
      <c r="F31" s="242"/>
    </row>
    <row r="32" spans="1:8" ht="15.75" thickBot="1">
      <c r="A32" s="223">
        <v>23</v>
      </c>
      <c r="B32" s="224" t="s">
        <v>496</v>
      </c>
      <c r="C32" s="224"/>
      <c r="D32" s="227"/>
      <c r="E32" s="225"/>
      <c r="F32" s="258">
        <v>0</v>
      </c>
      <c r="H32" s="136">
        <v>5</v>
      </c>
    </row>
    <row r="33" spans="1:8" ht="15">
      <c r="A33" s="233">
        <v>25</v>
      </c>
      <c r="B33" s="234" t="s">
        <v>497</v>
      </c>
      <c r="C33" s="234"/>
      <c r="D33" s="235"/>
      <c r="E33" s="236"/>
      <c r="F33" s="237">
        <f>SUM(F32:F32)</f>
        <v>0</v>
      </c>
      <c r="G33" s="211">
        <f>SUM(F33:F33)</f>
        <v>0</v>
      </c>
      <c r="H33" s="136">
        <v>7</v>
      </c>
    </row>
    <row r="34" spans="1:6" ht="15.75" thickBot="1">
      <c r="A34" s="238"/>
      <c r="B34" s="239"/>
      <c r="C34" s="239"/>
      <c r="D34" s="240"/>
      <c r="E34" s="241"/>
      <c r="F34" s="242"/>
    </row>
    <row r="35" spans="1:8" ht="16.5" thickBot="1" thickTop="1">
      <c r="A35" s="243">
        <v>26</v>
      </c>
      <c r="B35" s="244" t="s">
        <v>498</v>
      </c>
      <c r="C35" s="244"/>
      <c r="D35" s="245"/>
      <c r="E35" s="246"/>
      <c r="F35" s="247">
        <f>SUM(G18:G34)</f>
        <v>0</v>
      </c>
      <c r="H35" s="136">
        <v>44</v>
      </c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3"/>
  <sheetViews>
    <sheetView showGridLines="0" zoomScale="85" zoomScaleNormal="85" zoomScalePageLayoutView="0" workbookViewId="0" topLeftCell="A1">
      <selection activeCell="F9" sqref="F9"/>
    </sheetView>
  </sheetViews>
  <sheetFormatPr defaultColWidth="9.140625" defaultRowHeight="12.75"/>
  <cols>
    <col min="1" max="1" width="4.140625" style="267" bestFit="1" customWidth="1"/>
    <col min="2" max="2" width="10.00390625" style="267" bestFit="1" customWidth="1"/>
    <col min="3" max="3" width="49.140625" style="267" bestFit="1" customWidth="1"/>
    <col min="4" max="4" width="3.57421875" style="267" bestFit="1" customWidth="1"/>
    <col min="5" max="5" width="8.28125" style="267" bestFit="1" customWidth="1"/>
    <col min="6" max="6" width="11.00390625" style="267" bestFit="1" customWidth="1"/>
    <col min="7" max="7" width="11.57421875" style="267" bestFit="1" customWidth="1"/>
    <col min="8" max="8" width="6.7109375" style="267" bestFit="1" customWidth="1"/>
    <col min="9" max="9" width="10.140625" style="267" bestFit="1" customWidth="1"/>
    <col min="10" max="10" width="5.421875" style="336" hidden="1" customWidth="1"/>
    <col min="11" max="11" width="5.421875" style="267" hidden="1" customWidth="1"/>
    <col min="12" max="12" width="0" style="267" hidden="1" customWidth="1"/>
    <col min="13" max="13" width="4.57421875" style="267" hidden="1" customWidth="1"/>
    <col min="14" max="16384" width="9.140625" style="267" customWidth="1"/>
  </cols>
  <sheetData>
    <row r="1" spans="1:10" s="262" customFormat="1" ht="15.75">
      <c r="A1" s="422" t="s">
        <v>92</v>
      </c>
      <c r="B1" s="422"/>
      <c r="C1" s="422"/>
      <c r="D1" s="422"/>
      <c r="E1" s="422"/>
      <c r="F1" s="422"/>
      <c r="G1" s="422"/>
      <c r="H1" s="422"/>
      <c r="I1" s="422"/>
      <c r="J1" s="261"/>
    </row>
    <row r="2" spans="1:10" s="262" customFormat="1" ht="15.75">
      <c r="A2" s="422" t="s">
        <v>559</v>
      </c>
      <c r="B2" s="422"/>
      <c r="C2" s="422"/>
      <c r="D2" s="422"/>
      <c r="E2" s="422"/>
      <c r="F2" s="422"/>
      <c r="G2" s="422"/>
      <c r="H2" s="422"/>
      <c r="I2" s="422"/>
      <c r="J2" s="261"/>
    </row>
    <row r="3" spans="1:10" s="262" customFormat="1" ht="15.75">
      <c r="A3" s="422" t="s">
        <v>499</v>
      </c>
      <c r="B3" s="422"/>
      <c r="C3" s="422"/>
      <c r="D3" s="422"/>
      <c r="E3" s="422"/>
      <c r="F3" s="422"/>
      <c r="G3" s="422"/>
      <c r="H3" s="422"/>
      <c r="I3" s="422"/>
      <c r="J3" s="263"/>
    </row>
    <row r="4" spans="1:10" ht="15">
      <c r="A4" s="264"/>
      <c r="B4" s="265"/>
      <c r="C4" s="264"/>
      <c r="D4" s="264"/>
      <c r="E4" s="264"/>
      <c r="F4" s="264"/>
      <c r="G4" s="264"/>
      <c r="H4" s="264"/>
      <c r="I4" s="264"/>
      <c r="J4" s="266"/>
    </row>
    <row r="5" spans="1:10" s="270" customFormat="1" ht="33.75" customHeight="1" thickBot="1">
      <c r="A5" s="268" t="s">
        <v>432</v>
      </c>
      <c r="B5" s="268"/>
      <c r="C5" s="268"/>
      <c r="D5" s="268"/>
      <c r="E5" s="268"/>
      <c r="F5" s="268"/>
      <c r="G5" s="268"/>
      <c r="H5" s="268"/>
      <c r="I5" s="268"/>
      <c r="J5" s="269"/>
    </row>
    <row r="6" spans="1:13" ht="15.75" thickBot="1">
      <c r="A6" s="271" t="s">
        <v>433</v>
      </c>
      <c r="B6" s="272" t="s">
        <v>434</v>
      </c>
      <c r="C6" s="273" t="s">
        <v>435</v>
      </c>
      <c r="D6" s="273" t="s">
        <v>436</v>
      </c>
      <c r="E6" s="274" t="s">
        <v>437</v>
      </c>
      <c r="F6" s="274" t="s">
        <v>438</v>
      </c>
      <c r="G6" s="275" t="s">
        <v>439</v>
      </c>
      <c r="H6" s="276" t="s">
        <v>440</v>
      </c>
      <c r="I6" s="277" t="s">
        <v>441</v>
      </c>
      <c r="J6" s="278" t="s">
        <v>0</v>
      </c>
      <c r="K6" s="267" t="s">
        <v>442</v>
      </c>
      <c r="L6" s="267" t="s">
        <v>443</v>
      </c>
      <c r="M6" s="267" t="s">
        <v>444</v>
      </c>
    </row>
    <row r="7" spans="1:10" s="286" customFormat="1" ht="19.5" customHeight="1">
      <c r="A7" s="279" t="s">
        <v>445</v>
      </c>
      <c r="B7" s="280"/>
      <c r="C7" s="281"/>
      <c r="D7" s="281"/>
      <c r="E7" s="282"/>
      <c r="F7" s="282"/>
      <c r="G7" s="283"/>
      <c r="H7" s="284"/>
      <c r="I7" s="285"/>
      <c r="J7" s="263"/>
    </row>
    <row r="8" spans="1:13" ht="15">
      <c r="A8" s="287">
        <v>1</v>
      </c>
      <c r="B8" s="288">
        <v>720241</v>
      </c>
      <c r="C8" s="289" t="s">
        <v>545</v>
      </c>
      <c r="D8" s="289" t="s">
        <v>446</v>
      </c>
      <c r="E8" s="290">
        <v>2</v>
      </c>
      <c r="F8" s="259">
        <v>0</v>
      </c>
      <c r="G8" s="291">
        <f>E8*F8</f>
        <v>0</v>
      </c>
      <c r="H8" s="292">
        <v>0</v>
      </c>
      <c r="I8" s="293">
        <f>E8*H8</f>
        <v>0</v>
      </c>
      <c r="J8" s="294" t="s">
        <v>453</v>
      </c>
      <c r="K8" s="267" t="s">
        <v>448</v>
      </c>
      <c r="M8" s="295" t="s">
        <v>449</v>
      </c>
    </row>
    <row r="9" spans="1:13" ht="15">
      <c r="A9" s="287">
        <v>2</v>
      </c>
      <c r="B9" s="288">
        <v>720691</v>
      </c>
      <c r="C9" s="289" t="s">
        <v>514</v>
      </c>
      <c r="D9" s="289" t="s">
        <v>446</v>
      </c>
      <c r="E9" s="290">
        <v>2</v>
      </c>
      <c r="F9" s="259">
        <v>0</v>
      </c>
      <c r="G9" s="291">
        <f>E9*F9</f>
        <v>0</v>
      </c>
      <c r="H9" s="292">
        <v>0</v>
      </c>
      <c r="I9" s="293">
        <f>E9*H9</f>
        <v>0</v>
      </c>
      <c r="J9" s="294" t="s">
        <v>453</v>
      </c>
      <c r="M9" s="295" t="s">
        <v>449</v>
      </c>
    </row>
    <row r="10" spans="1:13" ht="15.75" thickBot="1">
      <c r="A10" s="296">
        <v>3</v>
      </c>
      <c r="B10" s="297">
        <v>436602</v>
      </c>
      <c r="C10" s="298" t="s">
        <v>546</v>
      </c>
      <c r="D10" s="298" t="s">
        <v>446</v>
      </c>
      <c r="E10" s="299">
        <v>1</v>
      </c>
      <c r="F10" s="260">
        <v>0</v>
      </c>
      <c r="G10" s="300">
        <f>E10*F10</f>
        <v>0</v>
      </c>
      <c r="H10" s="301">
        <v>0</v>
      </c>
      <c r="I10" s="302">
        <f>E10*H10</f>
        <v>0</v>
      </c>
      <c r="J10" s="303" t="s">
        <v>447</v>
      </c>
      <c r="K10" s="267" t="s">
        <v>448</v>
      </c>
      <c r="M10" s="295" t="s">
        <v>449</v>
      </c>
    </row>
    <row r="11" spans="1:13" s="312" customFormat="1" ht="14.25">
      <c r="A11" s="304"/>
      <c r="B11" s="305"/>
      <c r="C11" s="306" t="s">
        <v>450</v>
      </c>
      <c r="D11" s="306"/>
      <c r="E11" s="307"/>
      <c r="F11" s="307"/>
      <c r="G11" s="308">
        <f>SUM(G8:G10)</f>
        <v>0</v>
      </c>
      <c r="H11" s="309"/>
      <c r="I11" s="310">
        <f>SUM(I8:I10)</f>
        <v>0</v>
      </c>
      <c r="J11" s="311"/>
      <c r="M11" s="313" t="s">
        <v>449</v>
      </c>
    </row>
    <row r="12" spans="1:13" s="286" customFormat="1" ht="19.5" customHeight="1">
      <c r="A12" s="314" t="s">
        <v>451</v>
      </c>
      <c r="B12" s="315"/>
      <c r="C12" s="316"/>
      <c r="D12" s="316"/>
      <c r="E12" s="317"/>
      <c r="F12" s="317"/>
      <c r="G12" s="318"/>
      <c r="H12" s="319"/>
      <c r="I12" s="320"/>
      <c r="J12" s="321"/>
      <c r="M12" s="322"/>
    </row>
    <row r="13" spans="1:13" ht="15">
      <c r="A13" s="287">
        <v>4</v>
      </c>
      <c r="B13" s="288">
        <v>152219</v>
      </c>
      <c r="C13" s="289" t="s">
        <v>547</v>
      </c>
      <c r="D13" s="289" t="s">
        <v>103</v>
      </c>
      <c r="E13" s="290">
        <v>100</v>
      </c>
      <c r="F13" s="259">
        <v>0</v>
      </c>
      <c r="G13" s="291">
        <f aca="true" t="shared" si="0" ref="G13:G20">E13*F13</f>
        <v>0</v>
      </c>
      <c r="H13" s="292">
        <v>0</v>
      </c>
      <c r="I13" s="293">
        <f aca="true" t="shared" si="1" ref="I13:I20">E13*H13</f>
        <v>0</v>
      </c>
      <c r="J13" s="294" t="s">
        <v>447</v>
      </c>
      <c r="K13" s="267" t="s">
        <v>448</v>
      </c>
      <c r="M13" s="295" t="s">
        <v>452</v>
      </c>
    </row>
    <row r="14" spans="1:13" ht="15">
      <c r="A14" s="287">
        <v>5</v>
      </c>
      <c r="B14" s="288">
        <v>190219</v>
      </c>
      <c r="C14" s="289" t="s">
        <v>548</v>
      </c>
      <c r="D14" s="289" t="s">
        <v>446</v>
      </c>
      <c r="E14" s="290">
        <v>12</v>
      </c>
      <c r="F14" s="259">
        <v>0</v>
      </c>
      <c r="G14" s="291">
        <f t="shared" si="0"/>
        <v>0</v>
      </c>
      <c r="H14" s="292">
        <v>0</v>
      </c>
      <c r="I14" s="293">
        <f t="shared" si="1"/>
        <v>0</v>
      </c>
      <c r="J14" s="294" t="s">
        <v>447</v>
      </c>
      <c r="M14" s="295" t="s">
        <v>452</v>
      </c>
    </row>
    <row r="15" spans="1:13" ht="15">
      <c r="A15" s="287">
        <v>6</v>
      </c>
      <c r="B15" s="288">
        <v>190216</v>
      </c>
      <c r="C15" s="289" t="s">
        <v>549</v>
      </c>
      <c r="D15" s="289" t="s">
        <v>446</v>
      </c>
      <c r="E15" s="290">
        <v>4</v>
      </c>
      <c r="F15" s="259">
        <v>0</v>
      </c>
      <c r="G15" s="291">
        <f t="shared" si="0"/>
        <v>0</v>
      </c>
      <c r="H15" s="292">
        <v>0</v>
      </c>
      <c r="I15" s="293">
        <f t="shared" si="1"/>
        <v>0</v>
      </c>
      <c r="J15" s="294" t="s">
        <v>447</v>
      </c>
      <c r="M15" s="295" t="s">
        <v>452</v>
      </c>
    </row>
    <row r="16" spans="1:13" ht="15">
      <c r="A16" s="287">
        <v>7</v>
      </c>
      <c r="B16" s="288">
        <v>101107</v>
      </c>
      <c r="C16" s="289" t="s">
        <v>550</v>
      </c>
      <c r="D16" s="289" t="s">
        <v>103</v>
      </c>
      <c r="E16" s="290">
        <v>100</v>
      </c>
      <c r="F16" s="259">
        <v>0</v>
      </c>
      <c r="G16" s="291">
        <f t="shared" si="0"/>
        <v>0</v>
      </c>
      <c r="H16" s="292">
        <v>0</v>
      </c>
      <c r="I16" s="293">
        <f t="shared" si="1"/>
        <v>0</v>
      </c>
      <c r="J16" s="294" t="s">
        <v>447</v>
      </c>
      <c r="K16" s="267" t="s">
        <v>448</v>
      </c>
      <c r="M16" s="295" t="s">
        <v>452</v>
      </c>
    </row>
    <row r="17" spans="1:13" ht="15">
      <c r="A17" s="287">
        <v>8</v>
      </c>
      <c r="B17" s="288">
        <v>433364</v>
      </c>
      <c r="C17" s="289" t="s">
        <v>551</v>
      </c>
      <c r="D17" s="289" t="s">
        <v>446</v>
      </c>
      <c r="E17" s="290">
        <v>6</v>
      </c>
      <c r="F17" s="259">
        <v>0</v>
      </c>
      <c r="G17" s="291">
        <f t="shared" si="0"/>
        <v>0</v>
      </c>
      <c r="H17" s="292">
        <v>0</v>
      </c>
      <c r="I17" s="293">
        <f t="shared" si="1"/>
        <v>0</v>
      </c>
      <c r="J17" s="294" t="s">
        <v>447</v>
      </c>
      <c r="K17" s="267" t="s">
        <v>448</v>
      </c>
      <c r="M17" s="295" t="s">
        <v>452</v>
      </c>
    </row>
    <row r="18" spans="1:13" ht="15">
      <c r="A18" s="287">
        <v>9</v>
      </c>
      <c r="B18" s="288">
        <v>295001</v>
      </c>
      <c r="C18" s="289" t="s">
        <v>521</v>
      </c>
      <c r="D18" s="289" t="s">
        <v>103</v>
      </c>
      <c r="E18" s="290">
        <v>18</v>
      </c>
      <c r="F18" s="259">
        <v>0</v>
      </c>
      <c r="G18" s="291">
        <f t="shared" si="0"/>
        <v>0</v>
      </c>
      <c r="H18" s="292">
        <v>0</v>
      </c>
      <c r="I18" s="293">
        <f t="shared" si="1"/>
        <v>0</v>
      </c>
      <c r="J18" s="294" t="s">
        <v>447</v>
      </c>
      <c r="K18" s="267" t="s">
        <v>448</v>
      </c>
      <c r="M18" s="295" t="s">
        <v>452</v>
      </c>
    </row>
    <row r="19" spans="1:13" ht="15">
      <c r="A19" s="287">
        <v>10</v>
      </c>
      <c r="B19" s="288">
        <v>295071</v>
      </c>
      <c r="C19" s="289" t="s">
        <v>522</v>
      </c>
      <c r="D19" s="289" t="s">
        <v>446</v>
      </c>
      <c r="E19" s="290">
        <v>4</v>
      </c>
      <c r="F19" s="259">
        <v>0</v>
      </c>
      <c r="G19" s="291">
        <f t="shared" si="0"/>
        <v>0</v>
      </c>
      <c r="H19" s="292">
        <v>0</v>
      </c>
      <c r="I19" s="293">
        <f t="shared" si="1"/>
        <v>0</v>
      </c>
      <c r="J19" s="294" t="s">
        <v>447</v>
      </c>
      <c r="K19" s="267" t="s">
        <v>448</v>
      </c>
      <c r="M19" s="295" t="s">
        <v>452</v>
      </c>
    </row>
    <row r="20" spans="1:13" ht="15.75" thickBot="1">
      <c r="A20" s="296">
        <v>11</v>
      </c>
      <c r="B20" s="297">
        <v>295074</v>
      </c>
      <c r="C20" s="298" t="s">
        <v>523</v>
      </c>
      <c r="D20" s="298" t="s">
        <v>446</v>
      </c>
      <c r="E20" s="299">
        <v>4</v>
      </c>
      <c r="F20" s="260">
        <v>0</v>
      </c>
      <c r="G20" s="300">
        <f t="shared" si="0"/>
        <v>0</v>
      </c>
      <c r="H20" s="301">
        <v>0</v>
      </c>
      <c r="I20" s="302">
        <f t="shared" si="1"/>
        <v>0</v>
      </c>
      <c r="J20" s="303" t="s">
        <v>447</v>
      </c>
      <c r="K20" s="267" t="s">
        <v>448</v>
      </c>
      <c r="M20" s="295" t="s">
        <v>452</v>
      </c>
    </row>
    <row r="21" spans="1:13" s="312" customFormat="1" ht="14.25">
      <c r="A21" s="304"/>
      <c r="B21" s="305"/>
      <c r="C21" s="306" t="s">
        <v>450</v>
      </c>
      <c r="D21" s="306"/>
      <c r="E21" s="307"/>
      <c r="F21" s="307"/>
      <c r="G21" s="308">
        <f>SUM(G13:G20)</f>
        <v>0</v>
      </c>
      <c r="H21" s="309"/>
      <c r="I21" s="310">
        <f>SUM(I13:I20)</f>
        <v>0</v>
      </c>
      <c r="J21" s="311"/>
      <c r="M21" s="313" t="s">
        <v>452</v>
      </c>
    </row>
    <row r="22" spans="1:13" s="286" customFormat="1" ht="19.5" customHeight="1">
      <c r="A22" s="314" t="s">
        <v>454</v>
      </c>
      <c r="B22" s="315"/>
      <c r="C22" s="316"/>
      <c r="D22" s="316"/>
      <c r="E22" s="317"/>
      <c r="F22" s="317"/>
      <c r="G22" s="318"/>
      <c r="H22" s="319"/>
      <c r="I22" s="320"/>
      <c r="J22" s="321"/>
      <c r="M22" s="322"/>
    </row>
    <row r="23" spans="1:13" ht="15">
      <c r="A23" s="287">
        <v>12</v>
      </c>
      <c r="B23" s="288">
        <v>46221</v>
      </c>
      <c r="C23" s="289" t="s">
        <v>525</v>
      </c>
      <c r="D23" s="289" t="s">
        <v>171</v>
      </c>
      <c r="E23" s="290">
        <v>1.6</v>
      </c>
      <c r="F23" s="259">
        <v>0</v>
      </c>
      <c r="G23" s="291">
        <f>E23*F23</f>
        <v>0</v>
      </c>
      <c r="H23" s="292">
        <v>0</v>
      </c>
      <c r="I23" s="293">
        <f>E23*H23</f>
        <v>0</v>
      </c>
      <c r="J23" s="294" t="s">
        <v>447</v>
      </c>
      <c r="M23" s="295" t="s">
        <v>455</v>
      </c>
    </row>
    <row r="24" spans="1:13" ht="15">
      <c r="A24" s="287">
        <v>13</v>
      </c>
      <c r="B24" s="288">
        <v>46133</v>
      </c>
      <c r="C24" s="289" t="s">
        <v>457</v>
      </c>
      <c r="D24" s="289" t="s">
        <v>102</v>
      </c>
      <c r="E24" s="290">
        <v>4.56</v>
      </c>
      <c r="F24" s="259">
        <v>0</v>
      </c>
      <c r="G24" s="291">
        <f>E24*F24</f>
        <v>0</v>
      </c>
      <c r="H24" s="292">
        <v>0</v>
      </c>
      <c r="I24" s="293">
        <f>E24*H24</f>
        <v>0</v>
      </c>
      <c r="J24" s="294" t="s">
        <v>447</v>
      </c>
      <c r="M24" s="295" t="s">
        <v>455</v>
      </c>
    </row>
    <row r="25" spans="1:13" ht="15">
      <c r="A25" s="287">
        <v>14</v>
      </c>
      <c r="B25" s="288">
        <v>46325</v>
      </c>
      <c r="C25" s="289" t="s">
        <v>458</v>
      </c>
      <c r="D25" s="289" t="s">
        <v>103</v>
      </c>
      <c r="E25" s="290">
        <v>34</v>
      </c>
      <c r="F25" s="259">
        <v>0</v>
      </c>
      <c r="G25" s="291">
        <f>E25*F25</f>
        <v>0</v>
      </c>
      <c r="H25" s="292">
        <v>0</v>
      </c>
      <c r="I25" s="293">
        <f>E25*H25</f>
        <v>0</v>
      </c>
      <c r="J25" s="294" t="s">
        <v>447</v>
      </c>
      <c r="M25" s="295" t="s">
        <v>455</v>
      </c>
    </row>
    <row r="26" spans="1:13" ht="15">
      <c r="A26" s="287">
        <v>15</v>
      </c>
      <c r="B26" s="288">
        <v>46114</v>
      </c>
      <c r="C26" s="289" t="s">
        <v>459</v>
      </c>
      <c r="D26" s="289" t="s">
        <v>102</v>
      </c>
      <c r="E26" s="290">
        <v>0.84</v>
      </c>
      <c r="F26" s="259">
        <v>0</v>
      </c>
      <c r="G26" s="291">
        <f>E26*F26</f>
        <v>0</v>
      </c>
      <c r="H26" s="292">
        <v>0</v>
      </c>
      <c r="I26" s="293">
        <f>E26*H26</f>
        <v>0</v>
      </c>
      <c r="J26" s="294" t="s">
        <v>447</v>
      </c>
      <c r="M26" s="295" t="s">
        <v>455</v>
      </c>
    </row>
    <row r="27" spans="1:13" ht="15.75" thickBot="1">
      <c r="A27" s="296">
        <v>16</v>
      </c>
      <c r="B27" s="297">
        <v>46363</v>
      </c>
      <c r="C27" s="298" t="s">
        <v>524</v>
      </c>
      <c r="D27" s="298" t="s">
        <v>446</v>
      </c>
      <c r="E27" s="299">
        <v>24</v>
      </c>
      <c r="F27" s="260">
        <v>0</v>
      </c>
      <c r="G27" s="300">
        <f>E27*F27</f>
        <v>0</v>
      </c>
      <c r="H27" s="301">
        <v>0</v>
      </c>
      <c r="I27" s="302">
        <f>E27*H27</f>
        <v>0</v>
      </c>
      <c r="J27" s="303" t="s">
        <v>447</v>
      </c>
      <c r="M27" s="295" t="s">
        <v>455</v>
      </c>
    </row>
    <row r="28" spans="1:13" s="312" customFormat="1" ht="14.25">
      <c r="A28" s="304"/>
      <c r="B28" s="305"/>
      <c r="C28" s="306" t="s">
        <v>450</v>
      </c>
      <c r="D28" s="306"/>
      <c r="E28" s="307"/>
      <c r="F28" s="307"/>
      <c r="G28" s="308">
        <f>SUM(G23:G27)</f>
        <v>0</v>
      </c>
      <c r="H28" s="309"/>
      <c r="I28" s="310">
        <f>SUM(I23:I27)</f>
        <v>0</v>
      </c>
      <c r="J28" s="311"/>
      <c r="M28" s="313" t="s">
        <v>455</v>
      </c>
    </row>
    <row r="29" spans="1:13" s="286" customFormat="1" ht="19.5" customHeight="1">
      <c r="A29" s="314" t="s">
        <v>461</v>
      </c>
      <c r="B29" s="315"/>
      <c r="C29" s="316"/>
      <c r="D29" s="316"/>
      <c r="E29" s="317"/>
      <c r="F29" s="317"/>
      <c r="G29" s="318"/>
      <c r="H29" s="319"/>
      <c r="I29" s="320"/>
      <c r="J29" s="321"/>
      <c r="M29" s="322"/>
    </row>
    <row r="30" spans="1:13" ht="15">
      <c r="A30" s="287">
        <v>17</v>
      </c>
      <c r="B30" s="288">
        <v>210901078</v>
      </c>
      <c r="C30" s="289" t="s">
        <v>552</v>
      </c>
      <c r="D30" s="289" t="s">
        <v>103</v>
      </c>
      <c r="E30" s="290">
        <v>100</v>
      </c>
      <c r="F30" s="259">
        <v>0</v>
      </c>
      <c r="G30" s="291">
        <f aca="true" t="shared" si="2" ref="G30:G39">E30*F30</f>
        <v>0</v>
      </c>
      <c r="H30" s="292">
        <v>0.148</v>
      </c>
      <c r="I30" s="293">
        <f aca="true" t="shared" si="3" ref="I30:I39">E30*H30</f>
        <v>14.799999999999999</v>
      </c>
      <c r="J30" s="294" t="s">
        <v>447</v>
      </c>
      <c r="M30" s="295" t="s">
        <v>462</v>
      </c>
    </row>
    <row r="31" spans="1:13" ht="15">
      <c r="A31" s="287">
        <v>18</v>
      </c>
      <c r="B31" s="288">
        <v>210100012</v>
      </c>
      <c r="C31" s="289" t="s">
        <v>553</v>
      </c>
      <c r="D31" s="289" t="s">
        <v>446</v>
      </c>
      <c r="E31" s="290">
        <v>12</v>
      </c>
      <c r="F31" s="259">
        <v>0</v>
      </c>
      <c r="G31" s="291">
        <f t="shared" si="2"/>
        <v>0</v>
      </c>
      <c r="H31" s="292">
        <v>0.506</v>
      </c>
      <c r="I31" s="293">
        <f t="shared" si="3"/>
        <v>6.072</v>
      </c>
      <c r="J31" s="294" t="s">
        <v>447</v>
      </c>
      <c r="K31" s="267" t="s">
        <v>448</v>
      </c>
      <c r="M31" s="295" t="s">
        <v>462</v>
      </c>
    </row>
    <row r="32" spans="1:13" ht="15">
      <c r="A32" s="287">
        <v>19</v>
      </c>
      <c r="B32" s="288">
        <v>210100009</v>
      </c>
      <c r="C32" s="289" t="s">
        <v>554</v>
      </c>
      <c r="D32" s="289" t="s">
        <v>446</v>
      </c>
      <c r="E32" s="290">
        <v>4</v>
      </c>
      <c r="F32" s="259">
        <v>0</v>
      </c>
      <c r="G32" s="291">
        <f t="shared" si="2"/>
        <v>0</v>
      </c>
      <c r="H32" s="292">
        <v>0.337</v>
      </c>
      <c r="I32" s="293">
        <f t="shared" si="3"/>
        <v>1.348</v>
      </c>
      <c r="J32" s="294" t="s">
        <v>447</v>
      </c>
      <c r="K32" s="267" t="s">
        <v>448</v>
      </c>
      <c r="M32" s="295" t="s">
        <v>462</v>
      </c>
    </row>
    <row r="33" spans="1:13" ht="15">
      <c r="A33" s="287">
        <v>20</v>
      </c>
      <c r="B33" s="288">
        <v>210810008</v>
      </c>
      <c r="C33" s="289" t="s">
        <v>463</v>
      </c>
      <c r="D33" s="289" t="s">
        <v>103</v>
      </c>
      <c r="E33" s="290">
        <v>100</v>
      </c>
      <c r="F33" s="259">
        <v>0</v>
      </c>
      <c r="G33" s="291">
        <f t="shared" si="2"/>
        <v>0</v>
      </c>
      <c r="H33" s="292">
        <v>0.046</v>
      </c>
      <c r="I33" s="293">
        <f t="shared" si="3"/>
        <v>4.6</v>
      </c>
      <c r="J33" s="294" t="s">
        <v>447</v>
      </c>
      <c r="M33" s="295" t="s">
        <v>462</v>
      </c>
    </row>
    <row r="34" spans="1:13" ht="15">
      <c r="A34" s="287">
        <v>21</v>
      </c>
      <c r="B34" s="288">
        <v>210100002</v>
      </c>
      <c r="C34" s="289" t="s">
        <v>555</v>
      </c>
      <c r="D34" s="289" t="s">
        <v>446</v>
      </c>
      <c r="E34" s="290">
        <v>16</v>
      </c>
      <c r="F34" s="259">
        <v>0</v>
      </c>
      <c r="G34" s="291">
        <f t="shared" si="2"/>
        <v>0</v>
      </c>
      <c r="H34" s="292">
        <v>0.057</v>
      </c>
      <c r="I34" s="293">
        <f t="shared" si="3"/>
        <v>0.912</v>
      </c>
      <c r="J34" s="294" t="s">
        <v>447</v>
      </c>
      <c r="K34" s="267" t="s">
        <v>448</v>
      </c>
      <c r="M34" s="295" t="s">
        <v>462</v>
      </c>
    </row>
    <row r="35" spans="1:13" ht="15">
      <c r="A35" s="287">
        <v>22</v>
      </c>
      <c r="B35" s="288">
        <v>210191547</v>
      </c>
      <c r="C35" s="289" t="s">
        <v>556</v>
      </c>
      <c r="D35" s="289" t="s">
        <v>446</v>
      </c>
      <c r="E35" s="290">
        <v>2</v>
      </c>
      <c r="F35" s="259">
        <v>0</v>
      </c>
      <c r="G35" s="291">
        <f t="shared" si="2"/>
        <v>0</v>
      </c>
      <c r="H35" s="292">
        <v>2.6</v>
      </c>
      <c r="I35" s="293">
        <f t="shared" si="3"/>
        <v>5.2</v>
      </c>
      <c r="J35" s="294" t="s">
        <v>447</v>
      </c>
      <c r="M35" s="295" t="s">
        <v>462</v>
      </c>
    </row>
    <row r="36" spans="1:13" ht="15">
      <c r="A36" s="287">
        <v>23</v>
      </c>
      <c r="B36" s="288">
        <v>210120521</v>
      </c>
      <c r="C36" s="289" t="s">
        <v>557</v>
      </c>
      <c r="D36" s="289" t="s">
        <v>446</v>
      </c>
      <c r="E36" s="290">
        <v>1</v>
      </c>
      <c r="F36" s="259">
        <v>0</v>
      </c>
      <c r="G36" s="291">
        <f t="shared" si="2"/>
        <v>0</v>
      </c>
      <c r="H36" s="292">
        <v>0.801</v>
      </c>
      <c r="I36" s="293">
        <f t="shared" si="3"/>
        <v>0.801</v>
      </c>
      <c r="J36" s="294" t="s">
        <v>447</v>
      </c>
      <c r="M36" s="295" t="s">
        <v>462</v>
      </c>
    </row>
    <row r="37" spans="1:13" ht="15">
      <c r="A37" s="287">
        <v>24</v>
      </c>
      <c r="B37" s="288">
        <v>210120103</v>
      </c>
      <c r="C37" s="289" t="s">
        <v>528</v>
      </c>
      <c r="D37" s="289" t="s">
        <v>446</v>
      </c>
      <c r="E37" s="290">
        <v>6</v>
      </c>
      <c r="F37" s="259">
        <v>0</v>
      </c>
      <c r="G37" s="291">
        <f t="shared" si="2"/>
        <v>0</v>
      </c>
      <c r="H37" s="292">
        <v>0.016</v>
      </c>
      <c r="I37" s="293">
        <f t="shared" si="3"/>
        <v>0.096</v>
      </c>
      <c r="J37" s="294" t="s">
        <v>447</v>
      </c>
      <c r="M37" s="295" t="s">
        <v>462</v>
      </c>
    </row>
    <row r="38" spans="1:13" ht="15">
      <c r="A38" s="287">
        <v>25</v>
      </c>
      <c r="B38" s="288">
        <v>210220025</v>
      </c>
      <c r="C38" s="289" t="s">
        <v>532</v>
      </c>
      <c r="D38" s="289" t="s">
        <v>103</v>
      </c>
      <c r="E38" s="290">
        <v>16</v>
      </c>
      <c r="F38" s="259">
        <v>0</v>
      </c>
      <c r="G38" s="291">
        <f t="shared" si="2"/>
        <v>0</v>
      </c>
      <c r="H38" s="292">
        <v>0.14</v>
      </c>
      <c r="I38" s="293">
        <f t="shared" si="3"/>
        <v>2.24</v>
      </c>
      <c r="J38" s="294" t="s">
        <v>447</v>
      </c>
      <c r="M38" s="295" t="s">
        <v>462</v>
      </c>
    </row>
    <row r="39" spans="1:13" ht="15.75" thickBot="1">
      <c r="A39" s="296">
        <v>26</v>
      </c>
      <c r="B39" s="297">
        <v>210220441</v>
      </c>
      <c r="C39" s="298" t="s">
        <v>533</v>
      </c>
      <c r="D39" s="298" t="s">
        <v>446</v>
      </c>
      <c r="E39" s="299">
        <v>8</v>
      </c>
      <c r="F39" s="260">
        <v>0</v>
      </c>
      <c r="G39" s="300">
        <f t="shared" si="2"/>
        <v>0</v>
      </c>
      <c r="H39" s="301">
        <v>0.2</v>
      </c>
      <c r="I39" s="302">
        <f t="shared" si="3"/>
        <v>1.6</v>
      </c>
      <c r="J39" s="303" t="s">
        <v>447</v>
      </c>
      <c r="K39" s="267" t="s">
        <v>448</v>
      </c>
      <c r="M39" s="295" t="s">
        <v>462</v>
      </c>
    </row>
    <row r="40" spans="1:13" s="312" customFormat="1" ht="14.25">
      <c r="A40" s="304"/>
      <c r="B40" s="305"/>
      <c r="C40" s="306" t="s">
        <v>450</v>
      </c>
      <c r="D40" s="306"/>
      <c r="E40" s="307"/>
      <c r="F40" s="307"/>
      <c r="G40" s="308">
        <f>SUM(G30:G39)</f>
        <v>0</v>
      </c>
      <c r="H40" s="309"/>
      <c r="I40" s="310">
        <f>SUM(I30:I39)</f>
        <v>37.669000000000004</v>
      </c>
      <c r="J40" s="311"/>
      <c r="M40" s="313" t="s">
        <v>462</v>
      </c>
    </row>
    <row r="41" spans="1:13" s="286" customFormat="1" ht="19.5" customHeight="1">
      <c r="A41" s="314" t="s">
        <v>26</v>
      </c>
      <c r="B41" s="315"/>
      <c r="C41" s="316"/>
      <c r="D41" s="316"/>
      <c r="E41" s="317"/>
      <c r="F41" s="317"/>
      <c r="G41" s="318"/>
      <c r="H41" s="319"/>
      <c r="I41" s="320"/>
      <c r="J41" s="321"/>
      <c r="M41" s="322"/>
    </row>
    <row r="42" spans="1:13" ht="15">
      <c r="A42" s="287">
        <v>27</v>
      </c>
      <c r="B42" s="288">
        <v>460200203</v>
      </c>
      <c r="C42" s="289" t="s">
        <v>534</v>
      </c>
      <c r="D42" s="289" t="s">
        <v>103</v>
      </c>
      <c r="E42" s="290">
        <v>12</v>
      </c>
      <c r="F42" s="259">
        <v>0</v>
      </c>
      <c r="G42" s="291">
        <f aca="true" t="shared" si="4" ref="G42:G51">E42*F42</f>
        <v>0</v>
      </c>
      <c r="H42" s="292">
        <v>0.133</v>
      </c>
      <c r="I42" s="293">
        <f aca="true" t="shared" si="5" ref="I42:I51">E42*H42</f>
        <v>1.596</v>
      </c>
      <c r="J42" s="294" t="s">
        <v>447</v>
      </c>
      <c r="K42" s="267" t="s">
        <v>448</v>
      </c>
      <c r="M42" s="295" t="s">
        <v>464</v>
      </c>
    </row>
    <row r="43" spans="1:13" ht="15">
      <c r="A43" s="287">
        <v>28</v>
      </c>
      <c r="B43" s="288">
        <v>460560203</v>
      </c>
      <c r="C43" s="289" t="s">
        <v>535</v>
      </c>
      <c r="D43" s="289" t="s">
        <v>103</v>
      </c>
      <c r="E43" s="290">
        <v>12</v>
      </c>
      <c r="F43" s="259">
        <v>0</v>
      </c>
      <c r="G43" s="291">
        <f t="shared" si="4"/>
        <v>0</v>
      </c>
      <c r="H43" s="292">
        <v>0.046</v>
      </c>
      <c r="I43" s="293">
        <f t="shared" si="5"/>
        <v>0.552</v>
      </c>
      <c r="J43" s="294" t="s">
        <v>447</v>
      </c>
      <c r="M43" s="295" t="s">
        <v>464</v>
      </c>
    </row>
    <row r="44" spans="1:13" ht="15">
      <c r="A44" s="287">
        <v>29</v>
      </c>
      <c r="B44" s="288">
        <v>460620013</v>
      </c>
      <c r="C44" s="289" t="s">
        <v>467</v>
      </c>
      <c r="D44" s="289" t="s">
        <v>101</v>
      </c>
      <c r="E44" s="290">
        <v>17.85</v>
      </c>
      <c r="F44" s="259">
        <v>0</v>
      </c>
      <c r="G44" s="291">
        <f t="shared" si="4"/>
        <v>0</v>
      </c>
      <c r="H44" s="292">
        <v>0.005</v>
      </c>
      <c r="I44" s="293">
        <f t="shared" si="5"/>
        <v>0.08925000000000001</v>
      </c>
      <c r="J44" s="294" t="s">
        <v>447</v>
      </c>
      <c r="M44" s="295" t="s">
        <v>464</v>
      </c>
    </row>
    <row r="45" spans="1:13" ht="15">
      <c r="A45" s="287">
        <v>30</v>
      </c>
      <c r="B45" s="288">
        <v>460650017</v>
      </c>
      <c r="C45" s="289" t="s">
        <v>469</v>
      </c>
      <c r="D45" s="289" t="s">
        <v>102</v>
      </c>
      <c r="E45" s="290">
        <v>4.56</v>
      </c>
      <c r="F45" s="259">
        <v>0</v>
      </c>
      <c r="G45" s="291">
        <f t="shared" si="4"/>
        <v>0</v>
      </c>
      <c r="H45" s="292">
        <v>2.56</v>
      </c>
      <c r="I45" s="293">
        <f t="shared" si="5"/>
        <v>11.673599999999999</v>
      </c>
      <c r="J45" s="294" t="s">
        <v>447</v>
      </c>
      <c r="K45" s="267" t="s">
        <v>448</v>
      </c>
      <c r="M45" s="295" t="s">
        <v>464</v>
      </c>
    </row>
    <row r="46" spans="1:13" ht="15">
      <c r="A46" s="287">
        <v>31</v>
      </c>
      <c r="B46" s="288">
        <v>460510021</v>
      </c>
      <c r="C46" s="289" t="s">
        <v>466</v>
      </c>
      <c r="D46" s="289" t="s">
        <v>103</v>
      </c>
      <c r="E46" s="290">
        <v>34</v>
      </c>
      <c r="F46" s="259">
        <v>0</v>
      </c>
      <c r="G46" s="291">
        <f t="shared" si="4"/>
        <v>0</v>
      </c>
      <c r="H46" s="292">
        <v>0.059</v>
      </c>
      <c r="I46" s="293">
        <f t="shared" si="5"/>
        <v>2.006</v>
      </c>
      <c r="J46" s="294" t="s">
        <v>447</v>
      </c>
      <c r="M46" s="295" t="s">
        <v>464</v>
      </c>
    </row>
    <row r="47" spans="1:13" ht="15">
      <c r="A47" s="287">
        <v>32</v>
      </c>
      <c r="B47" s="288">
        <v>460200163</v>
      </c>
      <c r="C47" s="289" t="s">
        <v>537</v>
      </c>
      <c r="D47" s="289" t="s">
        <v>103</v>
      </c>
      <c r="E47" s="290">
        <v>12</v>
      </c>
      <c r="F47" s="259">
        <v>0</v>
      </c>
      <c r="G47" s="291">
        <f t="shared" si="4"/>
        <v>0</v>
      </c>
      <c r="H47" s="292">
        <v>0.407</v>
      </c>
      <c r="I47" s="293">
        <f t="shared" si="5"/>
        <v>4.8839999999999995</v>
      </c>
      <c r="J47" s="294" t="s">
        <v>447</v>
      </c>
      <c r="K47" s="267" t="s">
        <v>448</v>
      </c>
      <c r="M47" s="295" t="s">
        <v>464</v>
      </c>
    </row>
    <row r="48" spans="1:13" ht="15">
      <c r="A48" s="287">
        <v>33</v>
      </c>
      <c r="B48" s="288">
        <v>460420488</v>
      </c>
      <c r="C48" s="289" t="s">
        <v>538</v>
      </c>
      <c r="D48" s="289" t="s">
        <v>103</v>
      </c>
      <c r="E48" s="290">
        <v>12</v>
      </c>
      <c r="F48" s="259">
        <v>0</v>
      </c>
      <c r="G48" s="291">
        <f t="shared" si="4"/>
        <v>0</v>
      </c>
      <c r="H48" s="292">
        <v>0.101</v>
      </c>
      <c r="I48" s="293">
        <f t="shared" si="5"/>
        <v>1.2120000000000002</v>
      </c>
      <c r="J48" s="294" t="s">
        <v>447</v>
      </c>
      <c r="M48" s="295" t="s">
        <v>464</v>
      </c>
    </row>
    <row r="49" spans="1:13" ht="15">
      <c r="A49" s="287">
        <v>34</v>
      </c>
      <c r="B49" s="288">
        <v>460560163</v>
      </c>
      <c r="C49" s="289" t="s">
        <v>539</v>
      </c>
      <c r="D49" s="289" t="s">
        <v>103</v>
      </c>
      <c r="E49" s="290">
        <v>12</v>
      </c>
      <c r="F49" s="259">
        <v>0</v>
      </c>
      <c r="G49" s="291">
        <f t="shared" si="4"/>
        <v>0</v>
      </c>
      <c r="H49" s="292">
        <v>0.128</v>
      </c>
      <c r="I49" s="293">
        <f t="shared" si="5"/>
        <v>1.536</v>
      </c>
      <c r="J49" s="294" t="s">
        <v>447</v>
      </c>
      <c r="M49" s="295" t="s">
        <v>464</v>
      </c>
    </row>
    <row r="50" spans="1:13" ht="15">
      <c r="A50" s="287">
        <v>35</v>
      </c>
      <c r="B50" s="288">
        <v>460600001</v>
      </c>
      <c r="C50" s="289" t="s">
        <v>465</v>
      </c>
      <c r="D50" s="289" t="s">
        <v>102</v>
      </c>
      <c r="E50" s="290">
        <v>0.84</v>
      </c>
      <c r="F50" s="259">
        <v>0</v>
      </c>
      <c r="G50" s="291">
        <f t="shared" si="4"/>
        <v>0</v>
      </c>
      <c r="H50" s="292">
        <v>2.28</v>
      </c>
      <c r="I50" s="293">
        <f t="shared" si="5"/>
        <v>1.9151999999999998</v>
      </c>
      <c r="J50" s="294" t="s">
        <v>447</v>
      </c>
      <c r="M50" s="295" t="s">
        <v>464</v>
      </c>
    </row>
    <row r="51" spans="1:13" ht="15.75" thickBot="1">
      <c r="A51" s="296">
        <v>36</v>
      </c>
      <c r="B51" s="297">
        <v>460620013</v>
      </c>
      <c r="C51" s="298" t="s">
        <v>467</v>
      </c>
      <c r="D51" s="298" t="s">
        <v>101</v>
      </c>
      <c r="E51" s="299">
        <v>4.2</v>
      </c>
      <c r="F51" s="260">
        <v>0</v>
      </c>
      <c r="G51" s="300">
        <f t="shared" si="4"/>
        <v>0</v>
      </c>
      <c r="H51" s="301">
        <v>0.112</v>
      </c>
      <c r="I51" s="302">
        <f t="shared" si="5"/>
        <v>0.47040000000000004</v>
      </c>
      <c r="J51" s="303" t="s">
        <v>447</v>
      </c>
      <c r="M51" s="295" t="s">
        <v>464</v>
      </c>
    </row>
    <row r="52" spans="1:13" s="312" customFormat="1" ht="14.25">
      <c r="A52" s="304"/>
      <c r="B52" s="305"/>
      <c r="C52" s="306" t="s">
        <v>450</v>
      </c>
      <c r="D52" s="306"/>
      <c r="E52" s="307"/>
      <c r="F52" s="307"/>
      <c r="G52" s="308">
        <f>SUM(G42:G51)</f>
        <v>0</v>
      </c>
      <c r="H52" s="309"/>
      <c r="I52" s="310">
        <f>SUM(I42:I51)</f>
        <v>25.93445</v>
      </c>
      <c r="J52" s="311"/>
      <c r="M52" s="313" t="s">
        <v>464</v>
      </c>
    </row>
    <row r="53" spans="1:13" s="286" customFormat="1" ht="19.5" customHeight="1">
      <c r="A53" s="314" t="s">
        <v>540</v>
      </c>
      <c r="B53" s="315"/>
      <c r="C53" s="316"/>
      <c r="D53" s="316"/>
      <c r="E53" s="317"/>
      <c r="F53" s="317"/>
      <c r="G53" s="318"/>
      <c r="H53" s="319"/>
      <c r="I53" s="320"/>
      <c r="J53" s="321"/>
      <c r="M53" s="322"/>
    </row>
    <row r="54" spans="1:13" ht="15.75" thickBot="1">
      <c r="A54" s="296">
        <v>37</v>
      </c>
      <c r="B54" s="297">
        <v>1031</v>
      </c>
      <c r="C54" s="298" t="s">
        <v>541</v>
      </c>
      <c r="D54" s="298" t="s">
        <v>446</v>
      </c>
      <c r="E54" s="299">
        <v>2</v>
      </c>
      <c r="F54" s="260">
        <v>0</v>
      </c>
      <c r="G54" s="300">
        <f>E54*F54</f>
        <v>0</v>
      </c>
      <c r="H54" s="301">
        <v>0</v>
      </c>
      <c r="I54" s="302">
        <f>E54*H54</f>
        <v>0</v>
      </c>
      <c r="J54" s="303" t="s">
        <v>447</v>
      </c>
      <c r="M54" s="295" t="s">
        <v>542</v>
      </c>
    </row>
    <row r="55" spans="1:13" s="312" customFormat="1" ht="15" thickBot="1">
      <c r="A55" s="323"/>
      <c r="B55" s="324"/>
      <c r="C55" s="325" t="s">
        <v>450</v>
      </c>
      <c r="D55" s="325"/>
      <c r="E55" s="326"/>
      <c r="F55" s="326"/>
      <c r="G55" s="327">
        <f>SUM(G54:G54)</f>
        <v>0</v>
      </c>
      <c r="H55" s="328"/>
      <c r="I55" s="329">
        <f>SUM(I54:I54)</f>
        <v>0</v>
      </c>
      <c r="J55" s="330"/>
      <c r="M55" s="312" t="s">
        <v>542</v>
      </c>
    </row>
    <row r="56" spans="2:9" ht="15">
      <c r="B56" s="331"/>
      <c r="E56" s="332"/>
      <c r="F56" s="332"/>
      <c r="G56" s="333"/>
      <c r="H56" s="334"/>
      <c r="I56" s="335"/>
    </row>
    <row r="57" spans="2:9" ht="15">
      <c r="B57" s="331"/>
      <c r="E57" s="332"/>
      <c r="F57" s="332"/>
      <c r="G57" s="333"/>
      <c r="H57" s="334"/>
      <c r="I57" s="335"/>
    </row>
    <row r="58" spans="2:9" ht="15">
      <c r="B58" s="331"/>
      <c r="E58" s="332"/>
      <c r="F58" s="332"/>
      <c r="G58" s="333"/>
      <c r="H58" s="334"/>
      <c r="I58" s="335"/>
    </row>
    <row r="59" spans="2:9" ht="15">
      <c r="B59" s="331"/>
      <c r="E59" s="332"/>
      <c r="F59" s="332"/>
      <c r="G59" s="333"/>
      <c r="H59" s="334"/>
      <c r="I59" s="335"/>
    </row>
    <row r="60" spans="2:9" ht="15">
      <c r="B60" s="331"/>
      <c r="E60" s="332"/>
      <c r="F60" s="332"/>
      <c r="G60" s="333"/>
      <c r="H60" s="334"/>
      <c r="I60" s="335"/>
    </row>
    <row r="61" spans="2:9" ht="15">
      <c r="B61" s="331"/>
      <c r="E61" s="332"/>
      <c r="F61" s="332"/>
      <c r="G61" s="333"/>
      <c r="H61" s="334"/>
      <c r="I61" s="335"/>
    </row>
    <row r="62" spans="2:9" ht="15">
      <c r="B62" s="331"/>
      <c r="E62" s="332"/>
      <c r="F62" s="332"/>
      <c r="G62" s="333"/>
      <c r="H62" s="334"/>
      <c r="I62" s="335"/>
    </row>
    <row r="63" spans="2:9" ht="15">
      <c r="B63" s="331"/>
      <c r="E63" s="332"/>
      <c r="F63" s="332"/>
      <c r="G63" s="333"/>
      <c r="H63" s="334"/>
      <c r="I63" s="335"/>
    </row>
    <row r="64" spans="2:9" ht="15">
      <c r="B64" s="331"/>
      <c r="E64" s="332"/>
      <c r="F64" s="332"/>
      <c r="G64" s="333"/>
      <c r="H64" s="334"/>
      <c r="I64" s="335"/>
    </row>
    <row r="65" spans="2:9" ht="15">
      <c r="B65" s="331"/>
      <c r="E65" s="332"/>
      <c r="F65" s="332"/>
      <c r="G65" s="333"/>
      <c r="H65" s="334"/>
      <c r="I65" s="335"/>
    </row>
    <row r="66" spans="2:9" ht="15">
      <c r="B66" s="331"/>
      <c r="E66" s="332"/>
      <c r="F66" s="332"/>
      <c r="G66" s="333"/>
      <c r="H66" s="334"/>
      <c r="I66" s="335"/>
    </row>
    <row r="67" spans="2:9" ht="15">
      <c r="B67" s="331"/>
      <c r="E67" s="332"/>
      <c r="F67" s="332"/>
      <c r="G67" s="333"/>
      <c r="H67" s="334"/>
      <c r="I67" s="335"/>
    </row>
    <row r="68" spans="2:9" ht="15">
      <c r="B68" s="331"/>
      <c r="E68" s="332"/>
      <c r="F68" s="332"/>
      <c r="G68" s="333"/>
      <c r="H68" s="334"/>
      <c r="I68" s="335"/>
    </row>
    <row r="69" spans="2:9" ht="15">
      <c r="B69" s="331"/>
      <c r="E69" s="332"/>
      <c r="F69" s="332"/>
      <c r="G69" s="333"/>
      <c r="H69" s="334"/>
      <c r="I69" s="335"/>
    </row>
    <row r="70" spans="2:9" ht="15">
      <c r="B70" s="331"/>
      <c r="E70" s="332"/>
      <c r="F70" s="332"/>
      <c r="G70" s="333"/>
      <c r="H70" s="334"/>
      <c r="I70" s="335"/>
    </row>
    <row r="71" spans="2:9" ht="15">
      <c r="B71" s="331"/>
      <c r="E71" s="332"/>
      <c r="F71" s="332"/>
      <c r="G71" s="333"/>
      <c r="H71" s="334"/>
      <c r="I71" s="335"/>
    </row>
    <row r="72" spans="2:9" ht="15">
      <c r="B72" s="331"/>
      <c r="E72" s="332"/>
      <c r="F72" s="332"/>
      <c r="G72" s="333"/>
      <c r="H72" s="334"/>
      <c r="I72" s="335"/>
    </row>
    <row r="73" spans="2:9" ht="15">
      <c r="B73" s="331"/>
      <c r="E73" s="332"/>
      <c r="F73" s="332"/>
      <c r="G73" s="333"/>
      <c r="H73" s="334"/>
      <c r="I73" s="335"/>
    </row>
  </sheetData>
  <sheetProtection sheet="1" objects="1" scenarios="1" selectLockedCells="1"/>
  <mergeCells count="3">
    <mergeCell ref="A1:I1"/>
    <mergeCell ref="A2:I2"/>
    <mergeCell ref="A3:I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Mamka s taťkou</dc:creator>
  <cp:keywords/>
  <dc:description/>
  <cp:lastModifiedBy>o</cp:lastModifiedBy>
  <cp:lastPrinted>2016-08-30T08:01:02Z</cp:lastPrinted>
  <dcterms:created xsi:type="dcterms:W3CDTF">2015-11-27T19:48:03Z</dcterms:created>
  <dcterms:modified xsi:type="dcterms:W3CDTF">2016-10-03T13:44:00Z</dcterms:modified>
  <cp:category/>
  <cp:version/>
  <cp:contentType/>
  <cp:contentStatus/>
</cp:coreProperties>
</file>