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8680" yWindow="65416" windowWidth="29040" windowHeight="15840" firstSheet="1" activeTab="6"/>
  </bookViews>
  <sheets>
    <sheet name="Souhrnný rozpočet" sheetId="1" r:id="rId1"/>
    <sheet name="SO01_mlat_KL" sheetId="10" r:id="rId2"/>
    <sheet name="SO01_mlat" sheetId="11" r:id="rId3"/>
    <sheet name="SO01A_kostky Rekapitulace" sheetId="22" r:id="rId4"/>
    <sheet name="SO01A_kostky SO 101" sheetId="23" r:id="rId5"/>
    <sheet name="VRN - Vedlejší rozpočtové..." sheetId="27" r:id="rId6"/>
    <sheet name="SO01A_kostky Pokyny " sheetId="21" r:id="rId7"/>
    <sheet name="SO03_mobiliář_KL" sheetId="25" r:id="rId8"/>
    <sheet name="SO03_mobiliář" sheetId="26" r:id="rId9"/>
    <sheet name="SO04_Osvětlení" sheetId="16" r:id="rId10"/>
    <sheet name="SO05_Závlaha" sheetId="17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'SO01A_kostky SO 101'!$C$92:$K$438</definedName>
    <definedName name="_xlnm._FilterDatabase" localSheetId="5" hidden="1">'VRN - Vedlejší rozpočtové...'!$C$89:$K$119</definedName>
    <definedName name="_xlnm.Print_Area" localSheetId="6">'SO01A_kostky Pokyny '!$B$2:$K$71,'SO01A_kostky Pokyny '!$B$74:$K$118,'SO01A_kostky Pokyny '!$B$121:$K$161,'SO01A_kostky Pokyny '!$B$164:$K$219</definedName>
    <definedName name="_xlnm.Print_Area" localSheetId="3">'SO01A_kostky Rekapitulace'!$D$4:$AO$36,'SO01A_kostky Rekapitulace'!$C$42:$AQ$59</definedName>
    <definedName name="_xlnm.Print_Area" localSheetId="4">'SO01A_kostky SO 101'!$C$4:$J$41,'SO01A_kostky SO 101'!$C$47:$J$72,'SO01A_kostky SO 101'!$C$78:$K$438</definedName>
    <definedName name="_xlnm.Print_Area" localSheetId="10">'SO05_Závlaha'!$A$1:$H$124</definedName>
    <definedName name="_xlnm.Print_Area" localSheetId="5">'VRN - Vedlejší rozpočtové...'!$C$4:$J$41,'VRN - Vedlejší rozpočtové...'!$C$47:$J$69,'VRN - Vedlejší rozpočtové...'!$C$75:$K$119</definedName>
    <definedName name="vorn_sum" localSheetId="2">'[1]VORN'!$I$36</definedName>
    <definedName name="vorn_sum" localSheetId="1">'[1]VORN'!$I$36</definedName>
    <definedName name="vorn_sum" localSheetId="8">'[2]VORN'!$I$36</definedName>
    <definedName name="vorn_sum" localSheetId="7">'[2]VORN'!$I$36</definedName>
    <definedName name="vorn_sum">'[3]VORN'!$I$36</definedName>
    <definedName name="_xlnm.Print_Titles" localSheetId="3">'SO01A_kostky Rekapitulace'!$52:$52</definedName>
    <definedName name="_xlnm.Print_Titles" localSheetId="4">'SO01A_kostky SO 101'!$92:$92</definedName>
    <definedName name="_xlnm.Print_Titles" localSheetId="5">'VRN - Vedlejší rozpočtové...'!$89:$89</definedName>
    <definedName name="_xlnm.Print_Titles" localSheetId="10">'SO05_Závlaha'!$7:$7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<sst xmlns="http://schemas.openxmlformats.org/spreadsheetml/2006/main" count="5790" uniqueCount="1372">
  <si>
    <t>Rekapitulace nákladů projektu:</t>
  </si>
  <si>
    <t>Název stavby:</t>
  </si>
  <si>
    <t>Lokalita:</t>
  </si>
  <si>
    <t>Objednatel:</t>
  </si>
  <si>
    <t>Datum:</t>
  </si>
  <si>
    <t>Karlovy Vary, Sady Karla IV. - revitalizace veřejného prostranství</t>
  </si>
  <si>
    <t xml:space="preserve">Karlovy Vary </t>
  </si>
  <si>
    <t>Statutární město Karlovy Vary</t>
  </si>
  <si>
    <t xml:space="preserve"> 28.12.2023</t>
  </si>
  <si>
    <t>CELKEM BEZ DPH 21%</t>
  </si>
  <si>
    <t>CELKEM S DPH 21%</t>
  </si>
  <si>
    <t>SO 01 - Komunikace a zpevněné plochy - mlat</t>
  </si>
  <si>
    <t>SO 01A - Komunikace a zpevněné plochy - kostky</t>
  </si>
  <si>
    <t>SO 04 - Veřejné osvětlení</t>
  </si>
  <si>
    <t>SO 05 - Závlahový systém</t>
  </si>
  <si>
    <t>DPH 21%</t>
  </si>
  <si>
    <t>Výdaje projektu</t>
  </si>
  <si>
    <t>Položkový výpis prací - závlahový systém</t>
  </si>
  <si>
    <t>Akce:</t>
  </si>
  <si>
    <t>REKONSTRUKCE PARKU SADY KARLA IV.</t>
  </si>
  <si>
    <t>Název položky:</t>
  </si>
  <si>
    <t>PŘÍLOHA A</t>
  </si>
  <si>
    <t>Poř.</t>
  </si>
  <si>
    <t>Kód</t>
  </si>
  <si>
    <t>Popis</t>
  </si>
  <si>
    <t>MJ</t>
  </si>
  <si>
    <t>množství</t>
  </si>
  <si>
    <t>J.c. dodávka</t>
  </si>
  <si>
    <t>J.c. montáž</t>
  </si>
  <si>
    <t>Cena</t>
  </si>
  <si>
    <t>001</t>
  </si>
  <si>
    <t>ZVL</t>
  </si>
  <si>
    <t>ZÁVLAHOVÝ SYSTÉM</t>
  </si>
  <si>
    <t>Výkopové práce</t>
  </si>
  <si>
    <t>Hloubení rýh pro závlahy rýhovačem hloubky do 50 cm šířky do 15 cm délky do 400 m</t>
  </si>
  <si>
    <t>m</t>
  </si>
  <si>
    <t>Hloubení rýh pro závlahy rýhovačem hloubky do 30 cm šířky do 15 cm délky do 400 m</t>
  </si>
  <si>
    <t xml:space="preserve">Podsyp a obsyp potrubí - frakce 0 - 12 mm </t>
  </si>
  <si>
    <r>
      <t>m</t>
    </r>
    <r>
      <rPr>
        <vertAlign val="superscript"/>
        <sz val="9"/>
        <rFont val="Arial"/>
        <family val="2"/>
      </rPr>
      <t>3</t>
    </r>
  </si>
  <si>
    <t>= 780*0,16*0,15</t>
  </si>
  <si>
    <t>Zásyp potrubí výkopkem včetně hutnění, v třídě těžitelnosti I., písčito hlinitá zemina</t>
  </si>
  <si>
    <t>= 120*0,16*0,35+660*0,16*0,2</t>
  </si>
  <si>
    <t>Ruční přesun hmot pro závlahy do 100 m</t>
  </si>
  <si>
    <t>t</t>
  </si>
  <si>
    <t>Potrubí a kabely</t>
  </si>
  <si>
    <t>Potrubí HDPE 100 PE 50x3,0 PN 10</t>
  </si>
  <si>
    <t>* m</t>
  </si>
  <si>
    <t xml:space="preserve">Včetně montáže potrubí v otevřeném výkopu </t>
  </si>
  <si>
    <t>Potrubí HDPE 100 PE 40x2,4 PN 10</t>
  </si>
  <si>
    <t>Potrubí LDPE 40 PE 32x2,9 PN6</t>
  </si>
  <si>
    <t>Soubor spojovacího materiálu pro PE potrubí (t kusy, spojky, přechodky, redukce, kolena)</t>
  </si>
  <si>
    <t>ks</t>
  </si>
  <si>
    <t>Včetně montáže svěrných tvarovek pro potrubí PE 32-50</t>
  </si>
  <si>
    <t>Kabel CYKY-J 2x2,5 metráž</t>
  </si>
  <si>
    <t>Včetně montáže kabelu kolem potrubí</t>
  </si>
  <si>
    <t>Chránička PVC KG 110 - délka 3 m</t>
  </si>
  <si>
    <t>Fólie výstražná s bleskem š. 22 cm, d. 50 m</t>
  </si>
  <si>
    <t>Včetně položení výstražné fólie do otevřeného výkopu</t>
  </si>
  <si>
    <t>Prostup stávající betonovou stěnou vodoměrné šachty</t>
  </si>
  <si>
    <t>Včetně zapravení</t>
  </si>
  <si>
    <t>Spárovací hmota, tuba 310 ml</t>
  </si>
  <si>
    <t>Řídící jednotka a elektroinstalace</t>
  </si>
  <si>
    <t>Včetně montáže jednotky na sloupek, spárování a nastavení spouštění sekcí</t>
  </si>
  <si>
    <t>Solární panel pro komunikační bránu</t>
  </si>
  <si>
    <t>Včetně držáku, montáže na sloupek a zapojení k bráně</t>
  </si>
  <si>
    <t>Sloupek - pozinkovaný svařenec z ocelové trubky 80x4 mm, délka 4 mm</t>
  </si>
  <si>
    <t>Včetně základu z betonu C20/25, instalace sloupku a protažení plastových chrániček</t>
  </si>
  <si>
    <t>Dle detailu - viz příloha 02</t>
  </si>
  <si>
    <t>Bateriová řídicí jednotka pro ovládání 1 hlavního ventilu, připojení přes LoRa</t>
  </si>
  <si>
    <t>Včetně montáže a nastavení řídicí jednotky závlahového systému bateriové venkovní vodotěsné - IP68 do 4 sekcí</t>
  </si>
  <si>
    <t>Bateriová říd. jedn. 6 stanic LoRa BT připojení</t>
  </si>
  <si>
    <t>Včetně montáže a nastavení řídicí jednotky závlahového systému bateriové venkovní vodotěsné - IP68 do 6 sekcí</t>
  </si>
  <si>
    <t>Bateriová říd. jedn. 4 stanice LoRa BT připojení</t>
  </si>
  <si>
    <t>Bateriový modul pro senzory 1 vstup LoRa BT připojení</t>
  </si>
  <si>
    <t>Čidlo vlhkosti půdy pro jednotku kabel 1,8 m</t>
  </si>
  <si>
    <t>Včetně montáže senzoru srážek připojeného kabelem</t>
  </si>
  <si>
    <t xml:space="preserve">Srážkoměr </t>
  </si>
  <si>
    <t>Kabel CYKY-J 3x1,5 metráž</t>
  </si>
  <si>
    <t>Elektromagnetické ventily</t>
  </si>
  <si>
    <t>Elektromagnetický ventil 1" vnější závit, cívka DC-9 V, s regulací průtoku, pracovní tlak do 12 bar</t>
  </si>
  <si>
    <t>Materiál pro instalaci elektromagnetického ventilu pro závlahový systém 1" včetně montáže</t>
  </si>
  <si>
    <t>Materiál pro instalaci sestavy tří elektromagnetických ventilů pro závlahový systém 1" včetně montáže</t>
  </si>
  <si>
    <t>Materiál pro instalaci sestavy čtyř elektromagnetických ventilů pro závlahový systém 1" včetně montáže</t>
  </si>
  <si>
    <t>Materiál pro instalaci sestavy pěti elektromagnetických ventilů pro závlahový systém 1" včetně montáže</t>
  </si>
  <si>
    <t>Regulátor tlaku pro kapkovou závlahu 7,5-75,6 l/min</t>
  </si>
  <si>
    <t>Včetně montáže regulátoru tlaku</t>
  </si>
  <si>
    <t>Kulový ventil vni x vni záv. 6/4"x6/4"</t>
  </si>
  <si>
    <t>Včetně montáže tvarovky s převlečnou maticí pro PE 32-40</t>
  </si>
  <si>
    <t>Přechodka 50x6/4" vni</t>
  </si>
  <si>
    <t>Přechodka 40x1" vni</t>
  </si>
  <si>
    <t>Závlahové prvky</t>
  </si>
  <si>
    <t>Postřikovač rozprašovací, vstup 1/2", výsuv 10 cm, bez trysky</t>
  </si>
  <si>
    <t>Včetně montáže, napojení pomocí třmenu na PE32, napojení na pružnou hadici a nastavení postřikovače 1/2"</t>
  </si>
  <si>
    <t>Tryska nastavitelná, dostřik 2,4 m, vněj. závit</t>
  </si>
  <si>
    <t>Tryska nastavitelná, dostřik 3,6 m, vněj. závit</t>
  </si>
  <si>
    <t>Tryska rotační, dostřik 4,0 m, 90-210°, vnější závit</t>
  </si>
  <si>
    <t>Tryska rotační, dostřik 5,5 m, 90-210°, vnější závit</t>
  </si>
  <si>
    <t>Tryska rotační, dostřik 5,5 m, 360°, vnější závit</t>
  </si>
  <si>
    <t>Tryska rotační, dostřik 8,5 m, 90-210°, vnější závit</t>
  </si>
  <si>
    <t>Tryska rotační, dostřik 8,5 m, 210-270°, vnější závit</t>
  </si>
  <si>
    <t>Tryska rotační, dostřik 8,5 m, 360°, vnější závit</t>
  </si>
  <si>
    <t>Tryska rotační, dostřik 4,0 m, 45-105°, vně. závit</t>
  </si>
  <si>
    <t>Tryska rotační, dostřik 1,5x4,6 m, levá výseč, vně. závit</t>
  </si>
  <si>
    <t>Tryska rotační, dostřik 1,5x4,6 m, pravá výseč, vně. závit</t>
  </si>
  <si>
    <t>Tryska rotační, dostřik 1,5x9,2 m, vně. závit</t>
  </si>
  <si>
    <t>Montáž a nastavení trysky pro postřikovač rozprašovací</t>
  </si>
  <si>
    <t>Samostahovací hadice 16 mm pro napojení postřikovače, klubo 30 m</t>
  </si>
  <si>
    <t>Kapénková hadice 16 mm, role 100 m, bez kompenzace tlaku, rozteč otvorů 33 cm,  průtok 2 l/h</t>
  </si>
  <si>
    <t>Včetně montáže kapkové hadice na povrchu - délka 100 m</t>
  </si>
  <si>
    <t>Fitinky pro kapkovou hadici (T kusy, spojky, zátky)</t>
  </si>
  <si>
    <t>soub</t>
  </si>
  <si>
    <t>Včetně montáže souboru spojovacího materiálu</t>
  </si>
  <si>
    <t>Plastový bodec pro připevnění hadice k půdě</t>
  </si>
  <si>
    <t>Včetně montáže bodce</t>
  </si>
  <si>
    <t>Rychlopřípojný ventil pro ruční závlahu 3/4“</t>
  </si>
  <si>
    <t>Včetně připojení pomocí mosazné přechodky a montáže</t>
  </si>
  <si>
    <t>Klíč k mosaznému rychlopříponému ventilu 3/4"</t>
  </si>
  <si>
    <t>Otočná koncovka pro  hydrant 3/4" x 3/4" mosaz RN</t>
  </si>
  <si>
    <t>Filtr, zazimovací sestava</t>
  </si>
  <si>
    <t>Filtr 6/4" plastový, lamelový, 130 mikron</t>
  </si>
  <si>
    <t>Včetně montáže filtru</t>
  </si>
  <si>
    <t>Sestava pro zazimování</t>
  </si>
  <si>
    <t>Včetně montáže sestavy zazimování</t>
  </si>
  <si>
    <t>Šachty</t>
  </si>
  <si>
    <t>Ventilová šachta zátěžová 64x50x30 cm</t>
  </si>
  <si>
    <t>Montáž ventilové šachty o rozměrech 64x50 cm</t>
  </si>
  <si>
    <t>Ventilová šachta velká zátěžová- prům. 32 cm</t>
  </si>
  <si>
    <t>Montáž ventilové šachty do průměru 32 cm</t>
  </si>
  <si>
    <t>Ostatní náklady</t>
  </si>
  <si>
    <t>Tlaková zkouška závlahového potrubí z LDPE nebo HDPE DN do 32</t>
  </si>
  <si>
    <t>Zprovoznění a odzkoušení závlahy přes 500 m2 zavlažované plochy</t>
  </si>
  <si>
    <t>Ostatní instalační a spotřební materiál</t>
  </si>
  <si>
    <t>Cena celkem bez DPH</t>
  </si>
  <si>
    <t>Cena celkem s DPH</t>
  </si>
  <si>
    <t>Revitalizace sady Karla IV. Karlovy Vary - VV veřejné osvětlení</t>
  </si>
  <si>
    <t>Elektroinstalace silnoproud</t>
  </si>
  <si>
    <t>položka</t>
  </si>
  <si>
    <t>mj</t>
  </si>
  <si>
    <t>počet</t>
  </si>
  <si>
    <t>JC</t>
  </si>
  <si>
    <t>celkem</t>
  </si>
  <si>
    <t>Svítidla</t>
  </si>
  <si>
    <r>
      <rPr>
        <b/>
        <sz val="11"/>
        <color theme="1"/>
        <rFont val="Calibri"/>
        <family val="2"/>
        <scheme val="minor"/>
      </rPr>
      <t>svítidlo typ A</t>
    </r>
    <r>
      <rPr>
        <sz val="11"/>
        <color theme="1"/>
        <rFont val="Calibri"/>
        <family val="2"/>
        <scheme val="minor"/>
      </rPr>
      <t xml:space="preserve"> - přemístění stávajících stožárů VO do nových pozic</t>
    </r>
  </si>
  <si>
    <r>
      <rPr>
        <b/>
        <sz val="11"/>
        <color theme="1"/>
        <rFont val="Calibri"/>
        <family val="2"/>
        <scheme val="minor"/>
      </rPr>
      <t>svítidlo typ A</t>
    </r>
    <r>
      <rPr>
        <sz val="11"/>
        <color theme="1"/>
        <rFont val="Calibri"/>
        <family val="2"/>
        <scheme val="minor"/>
      </rPr>
      <t xml:space="preserve"> - zrušení stávajících stožárů VO </t>
    </r>
  </si>
  <si>
    <t>zdroj - 50W LED 3000K</t>
  </si>
  <si>
    <t>montáž svítidel typ B</t>
  </si>
  <si>
    <t>montáž svítidel typ C</t>
  </si>
  <si>
    <t>montáž svítidel typ D</t>
  </si>
  <si>
    <r>
      <rPr>
        <b/>
        <sz val="11"/>
        <color theme="1"/>
        <rFont val="Calibri"/>
        <family val="2"/>
        <scheme val="minor"/>
      </rPr>
      <t>svítidlo typ E</t>
    </r>
    <r>
      <rPr>
        <sz val="11"/>
        <color theme="1"/>
        <rFont val="Calibri"/>
        <family val="2"/>
        <scheme val="minor"/>
      </rPr>
      <t xml:space="preserve"> - LED reflektor 20W 3000K (typ po domluvě s architekty)</t>
    </r>
  </si>
  <si>
    <t>montáž svítidel typ E</t>
  </si>
  <si>
    <t>recyklační polpatek</t>
  </si>
  <si>
    <t>zbudování základu pro stožárová svítidla (stožárové pouzdro)</t>
  </si>
  <si>
    <t>Montážní materiál</t>
  </si>
  <si>
    <t>kabel CYKY 5J/6  - napojeni stávajícho osvětlení ( přesuny lamp VO)</t>
  </si>
  <si>
    <t>kabel CYKY 5J/6  - napojeni nových stožáru VO</t>
  </si>
  <si>
    <t>kabel CYKY 3x2,5 - napojení nových zemních svítidel</t>
  </si>
  <si>
    <t>ohebná trubka KOPOFLEX 40mm</t>
  </si>
  <si>
    <t>kulatina FeZn 10mm</t>
  </si>
  <si>
    <t>svorky SU pro napojení kulatin v zemi</t>
  </si>
  <si>
    <t>kpl</t>
  </si>
  <si>
    <t>ochranný nátěr na zemní svorky</t>
  </si>
  <si>
    <t xml:space="preserve">ochranná smrštovací bužírka na přechod kulatiny ze země </t>
  </si>
  <si>
    <t>zbudování základů pro montáž svítidel typ D (velkoformátová dlažba pro ukotvení svítidla)</t>
  </si>
  <si>
    <t>zemní kabelová spojka pro CYKY 5J/6</t>
  </si>
  <si>
    <t>zemní kabelová spojka PAGURO 5695/3</t>
  </si>
  <si>
    <t>zemní kabelová spojka PAGURO 5660/4</t>
  </si>
  <si>
    <t>Ostatní</t>
  </si>
  <si>
    <t>napojení vývodů pro nové stožáry VO ze stávajících stožárů</t>
  </si>
  <si>
    <t>výstražná fólie do výkopu</t>
  </si>
  <si>
    <t>drobný montážní a kotvící materiál</t>
  </si>
  <si>
    <t>spolupráce a koordinace s ostatními profesemi, architekty a investorem</t>
  </si>
  <si>
    <t>hod</t>
  </si>
  <si>
    <t>ostatní blýže nespecifikovaný montážní materiál</t>
  </si>
  <si>
    <t xml:space="preserve">revizní zpráva elektro </t>
  </si>
  <si>
    <t xml:space="preserve">dokumetace skutečného provedení </t>
  </si>
  <si>
    <t>doprava/ubytování/parkovné</t>
  </si>
  <si>
    <t>Celkem bez DPH:</t>
  </si>
  <si>
    <t>Požadavky elektro na stavební práce</t>
  </si>
  <si>
    <t>Krycí list slepého rozpočtu</t>
  </si>
  <si>
    <t>IČO/DIČ:</t>
  </si>
  <si>
    <t/>
  </si>
  <si>
    <t>Druh stavby:</t>
  </si>
  <si>
    <t>Projektant:</t>
  </si>
  <si>
    <t>67611591/CZ7303074053</t>
  </si>
  <si>
    <t>Zhotovitel:</t>
  </si>
  <si>
    <t>Začátek výstavby:</t>
  </si>
  <si>
    <t>Konec výstavby:</t>
  </si>
  <si>
    <t>Položek:</t>
  </si>
  <si>
    <t>JKSO: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</si>
  <si>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</si>
  <si>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</si>
  <si>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</si>
  <si>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</si>
  <si>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</si>
  <si>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</si>
  <si>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</si>
  <si>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</si>
  <si>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</si>
  <si>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</si>
  <si>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Zařízení staveniště</t>
  </si>
  <si>
    <t>Montáž</t>
  </si>
  <si>
    <t>PSV</t>
  </si>
  <si>
    <t>"M"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</si>
  <si>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</si>
  <si>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</si>
  <si>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</si>
  <si>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</si>
  <si>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</si>
  <si>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</si>
  <si>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</si>
  <si>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</si>
  <si>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</si>
  <si>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</si>
  <si>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Celkem bez DPH</t>
  </si>
  <si>
    <t>Základ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</si>
  <si>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</si>
  <si>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</si>
  <si>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</si>
  <si>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</si>
  <si>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</si>
  <si>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</si>
  <si>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</si>
  <si>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Karlovy Vary, Sady Karla IV.-revitalizace veřejného prostranství</t>
  </si>
  <si>
    <t>Doba výstavby:</t>
  </si>
  <si>
    <t xml:space="preserve"> </t>
  </si>
  <si>
    <t>Ing. Přemysl Krejčiřík, Ph.D.</t>
  </si>
  <si>
    <t>Karlovy Vary</t>
  </si>
  <si>
    <t> </t>
  </si>
  <si>
    <t>Zpracováno dne:</t>
  </si>
  <si>
    <t>18.12.2023</t>
  </si>
  <si>
    <t>Ing. Aneta Dalajková</t>
  </si>
  <si>
    <t>Č</t>
  </si>
  <si>
    <t>Zkrácený popis</t>
  </si>
  <si>
    <t>Množství</t>
  </si>
  <si>
    <t>Cena/MJ</t>
  </si>
  <si>
    <t>Náklady (Kč)</t>
  </si>
  <si>
    <t>Cenová</t>
  </si>
  <si>
    <t>ISWORK</t>
  </si>
  <si>
    <t>GROUPCODE</t>
  </si>
  <si>
    <t>VATTAX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</si>
  <si>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</si>
  <si>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</si>
  <si>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</si>
  <si>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</si>
  <si>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</si>
  <si>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</si>
  <si>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</si>
  <si>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</si>
  <si>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</si>
  <si>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</si>
  <si>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</si>
  <si>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</si>
  <si>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</si>
  <si>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</si>
  <si>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</si>
  <si>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</si>
  <si>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</si>
  <si>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</si>
  <si>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</si>
  <si>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01</t>
  </si>
  <si>
    <t>1</t>
  </si>
  <si>
    <t>m2</t>
  </si>
  <si>
    <t>RTS I / 2023</t>
  </si>
  <si>
    <t>11_</t>
  </si>
  <si>
    <t>01_1_</t>
  </si>
  <si>
    <t>01_</t>
  </si>
  <si>
    <t>2</t>
  </si>
  <si>
    <t>kus</t>
  </si>
  <si>
    <t>3</t>
  </si>
  <si>
    <t>4</t>
  </si>
  <si>
    <t>5</t>
  </si>
  <si>
    <t>6</t>
  </si>
  <si>
    <t>7</t>
  </si>
  <si>
    <t>8</t>
  </si>
  <si>
    <t>9</t>
  </si>
  <si>
    <t>16</t>
  </si>
  <si>
    <t>Přemístění výkopku</t>
  </si>
  <si>
    <t>10</t>
  </si>
  <si>
    <t>16_</t>
  </si>
  <si>
    <t>12</t>
  </si>
  <si>
    <t>13</t>
  </si>
  <si>
    <t>14</t>
  </si>
  <si>
    <t>15</t>
  </si>
  <si>
    <t>17</t>
  </si>
  <si>
    <t>soubor</t>
  </si>
  <si>
    <t>18</t>
  </si>
  <si>
    <t>19</t>
  </si>
  <si>
    <t>H23</t>
  </si>
  <si>
    <t>Plochy a úpravy území</t>
  </si>
  <si>
    <t>20</t>
  </si>
  <si>
    <t>998231311R00</t>
  </si>
  <si>
    <t>Přesun hmot pro sadovnické a krajin. úpravy do 5km</t>
  </si>
  <si>
    <t>H23_</t>
  </si>
  <si>
    <t>01_9_</t>
  </si>
  <si>
    <t>S0</t>
  </si>
  <si>
    <t>Přesuny sutí</t>
  </si>
  <si>
    <t>21</t>
  </si>
  <si>
    <t>m3</t>
  </si>
  <si>
    <t>S0_</t>
  </si>
  <si>
    <t>22</t>
  </si>
  <si>
    <t>23</t>
  </si>
  <si>
    <t>0</t>
  </si>
  <si>
    <t>Z99999_</t>
  </si>
  <si>
    <t>02</t>
  </si>
  <si>
    <t>24</t>
  </si>
  <si>
    <t>02_1_</t>
  </si>
  <si>
    <t>02_</t>
  </si>
  <si>
    <t>25</t>
  </si>
  <si>
    <t>162701105RT3</t>
  </si>
  <si>
    <t>Povrchové úpravy terénu</t>
  </si>
  <si>
    <t>26</t>
  </si>
  <si>
    <t>18_</t>
  </si>
  <si>
    <t>27</t>
  </si>
  <si>
    <t>28</t>
  </si>
  <si>
    <t>29</t>
  </si>
  <si>
    <t>30</t>
  </si>
  <si>
    <t>31</t>
  </si>
  <si>
    <t>185851121</t>
  </si>
  <si>
    <t>RTS II / 2023</t>
  </si>
  <si>
    <t>32</t>
  </si>
  <si>
    <t>33</t>
  </si>
  <si>
    <t>34</t>
  </si>
  <si>
    <t>02_9_</t>
  </si>
  <si>
    <t>35</t>
  </si>
  <si>
    <t>36</t>
  </si>
  <si>
    <t>10371500</t>
  </si>
  <si>
    <t>Substrát nerašelinového typu (např.směs odplevelené ornice a kompostu)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</si>
  <si>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</si>
  <si>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</si>
  <si>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</si>
  <si>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</si>
  <si>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</si>
  <si>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</si>
  <si>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</si>
  <si>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</si>
  <si>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</si>
  <si>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</si>
  <si>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</si>
  <si>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08231320</t>
  </si>
  <si>
    <t>48</t>
  </si>
  <si>
    <t>03</t>
  </si>
  <si>
    <t>49</t>
  </si>
  <si>
    <t>03_1_</t>
  </si>
  <si>
    <t>03_</t>
  </si>
  <si>
    <t>50</t>
  </si>
  <si>
    <t>122207111R00</t>
  </si>
  <si>
    <t>51</t>
  </si>
  <si>
    <t>Konstrukce ze zemin</t>
  </si>
  <si>
    <t>52</t>
  </si>
  <si>
    <t>171101101R00</t>
  </si>
  <si>
    <t>17_</t>
  </si>
  <si>
    <t>53</t>
  </si>
  <si>
    <t>181101102R00</t>
  </si>
  <si>
    <t>54</t>
  </si>
  <si>
    <t>55</t>
  </si>
  <si>
    <t>56</t>
  </si>
  <si>
    <t>57</t>
  </si>
  <si>
    <t>58</t>
  </si>
  <si>
    <t>59</t>
  </si>
  <si>
    <t>60</t>
  </si>
  <si>
    <t>03_9_</t>
  </si>
  <si>
    <t>61</t>
  </si>
  <si>
    <t>62</t>
  </si>
  <si>
    <t>03_Z_</t>
  </si>
  <si>
    <t>63</t>
  </si>
  <si>
    <t>64</t>
  </si>
  <si>
    <t>65</t>
  </si>
  <si>
    <t>66</t>
  </si>
  <si>
    <t>67</t>
  </si>
  <si>
    <t>68</t>
  </si>
  <si>
    <t>69</t>
  </si>
  <si>
    <t>04</t>
  </si>
  <si>
    <t>70</t>
  </si>
  <si>
    <t>04_1_</t>
  </si>
  <si>
    <t>04_</t>
  </si>
  <si>
    <t>71</t>
  </si>
  <si>
    <t>72</t>
  </si>
  <si>
    <t>73</t>
  </si>
  <si>
    <t>Odkopávky a prokopávky</t>
  </si>
  <si>
    <t>74</t>
  </si>
  <si>
    <t>12_</t>
  </si>
  <si>
    <t>75</t>
  </si>
  <si>
    <t>182303111RR</t>
  </si>
  <si>
    <t>76</t>
  </si>
  <si>
    <t>77</t>
  </si>
  <si>
    <t>181006111R00</t>
  </si>
  <si>
    <t>Rozprostření substrátů v rov./sklonu 1:5, tl. do 10 cm</t>
  </si>
  <si>
    <t>78</t>
  </si>
  <si>
    <t>79</t>
  </si>
  <si>
    <t>80</t>
  </si>
  <si>
    <t>81</t>
  </si>
  <si>
    <t>82</t>
  </si>
  <si>
    <t>83</t>
  </si>
  <si>
    <t>04_9_</t>
  </si>
  <si>
    <t>04_Z_</t>
  </si>
  <si>
    <t>91</t>
  </si>
  <si>
    <t>05</t>
  </si>
  <si>
    <t>05_1_</t>
  </si>
  <si>
    <t>05_</t>
  </si>
  <si>
    <t>05_9_</t>
  </si>
  <si>
    <t>05_Z_</t>
  </si>
  <si>
    <t>Celkem:</t>
  </si>
  <si>
    <t xml:space="preserve">CELKEM BEZ DPH </t>
  </si>
  <si>
    <t>SO 01 Komunikace a zpevněné plochy-mlat</t>
  </si>
  <si>
    <t>Asanace plochy z nestmeleného kameniva</t>
  </si>
  <si>
    <t>113107631R00</t>
  </si>
  <si>
    <t>Odstranění podkladu nad 50 m2, kam.drcené tl. 310 mm</t>
  </si>
  <si>
    <t>998222011R00</t>
  </si>
  <si>
    <t>Přesun hmot, pozemní komunikace, kryt z kameniva</t>
  </si>
  <si>
    <t>979083R</t>
  </si>
  <si>
    <t>Vodorovné přemístění suti na skládku do 20000 m, vč. naložení na dopr. prostředek do 12 t a složení (821 m3 x 2,2 t/m3)</t>
  </si>
  <si>
    <t>979999998R00</t>
  </si>
  <si>
    <t>Poplatek za skládku suti 5% příměsí</t>
  </si>
  <si>
    <t>Asanace kostky uvnitř parku</t>
  </si>
  <si>
    <t>113106222R00</t>
  </si>
  <si>
    <t>Rozebrání dlažeb z drobných kostek</t>
  </si>
  <si>
    <t>113107624R00</t>
  </si>
  <si>
    <t>Odstranění podkladu nad 50 m2,kam.drcené tl. 240 mm</t>
  </si>
  <si>
    <t>Vodorovné přemístění vyb. hmot do 20000 m, vč. naložení na dopr. prostředek do 12 t a složení</t>
  </si>
  <si>
    <t>- vybourané kostky: 24 m2 x hl. cca 0,12 m = 3 m3 x 2,5 t/m3 = 7,5 t - odvoz na místo určení dle instrukcí investora nebo technického dozoru
- stavební suť: 24 m2 x hl. cca 0,24 m = 6 t - odvoz na skládku</t>
  </si>
  <si>
    <t>Příprava staveniště</t>
  </si>
  <si>
    <t>111_100VD</t>
  </si>
  <si>
    <t>Vytýčení stávajících inženýrských sítí</t>
  </si>
  <si>
    <t>Vytýčení navrhovaných technických prvků  (cesty, zídky, záhony, technické prvky)</t>
  </si>
  <si>
    <t>Odkopávky při pozemkové úpravě nezapaž. - modelace terénu kolem sochy - 27 m2x0,3m</t>
  </si>
  <si>
    <t>Úprava pláně v zářezech v hor. 1-4, se zhutněním</t>
  </si>
  <si>
    <t>Odkopávky při pozemkové úpravě nezapaž. - výkopové práce v rámci elektro(300 mx0,5mx0,5m)</t>
  </si>
  <si>
    <t>Po uložení kabeláže bude zemina navrácena zpět.</t>
  </si>
  <si>
    <t>Úprava pláně v zářezech v hor. 1-4, se zhutněním - v rámci elektro</t>
  </si>
  <si>
    <t>167101102R00</t>
  </si>
  <si>
    <t>Nakládání výkopku z hor.1-4 v množství nad 100 m3</t>
  </si>
  <si>
    <t>162701105R00</t>
  </si>
  <si>
    <t>Vodorovné přemístění výkopku z hor.1-4 do 10000 m (8 m3 x koef. nakypření 1,22)</t>
  </si>
  <si>
    <t>199000002R00</t>
  </si>
  <si>
    <t>Poplatek za skládku zeminy</t>
  </si>
  <si>
    <t>200_016VD</t>
  </si>
  <si>
    <t>Instalace obruby z ocelové pásoviny; 5/100/3000 mm (včetně ohýbání a svařování dílů, zatlučení a přivaření roxorů)</t>
  </si>
  <si>
    <t>bm</t>
  </si>
  <si>
    <t>184807111R00</t>
  </si>
  <si>
    <t>Ochrana stromu při stavební činnosti bedněním - zřízení (ochrana kmene stromů a keřových skupin)</t>
  </si>
  <si>
    <t>8 stromů - 4 m x 1,6 m x 8ks = 51,2 m2</t>
  </si>
  <si>
    <t>184807112R00</t>
  </si>
  <si>
    <t>Ochrana stromu bedněním - odstranění (ochrana kmene stromů a keřových skupin)</t>
  </si>
  <si>
    <t>Základy</t>
  </si>
  <si>
    <t>275311114R00</t>
  </si>
  <si>
    <t>Beton základ. patek prostý z cem. portlad. C 12/15</t>
  </si>
  <si>
    <t>27_</t>
  </si>
  <si>
    <t>Betonové patky pro sloupové osvětlení v parku. Nové lampy 7 ks, přesun 5 ks stávajících, reflektor 2 ks, zemní svítidlo 12 ks.
0,4x0,4x0,6=0,096 m3 x 12 ks  = 1,2 m3
Kotvení lamp v rámci rozpočtu osvětlení.</t>
  </si>
  <si>
    <t>111_210VD</t>
  </si>
  <si>
    <t>Kovová obruba, ocelová pásovina 5/100/3000 mm + 15% přesahy</t>
  </si>
  <si>
    <t>111_211VD</t>
  </si>
  <si>
    <t>Roxor ocelový k ukotvení lemovky (12 mm průměr; 500 mm délka; 2ks/bm x 750 bm)</t>
  </si>
  <si>
    <t>Navaření roxorů po 0,5 m ( 2ks na běžný metr).</t>
  </si>
  <si>
    <t>Mlatový povrch, tl. 310 mm - pochozí</t>
  </si>
  <si>
    <t>11009RVD</t>
  </si>
  <si>
    <t>Laboratorní zkouška únosnosti a zhutnitelnosti zemní pláně</t>
  </si>
  <si>
    <t>Odkopávky při pozemkové úpravě nezapaž. (dle přiložených řezů v dokumentaci)</t>
  </si>
  <si>
    <t>Veškeré rozměry a výškové poměry musí být prověřeny před realizací na stavbě, kontrola autorským dozorem.</t>
  </si>
  <si>
    <t>Doplnění substrátu tl. do 10 cm v rovině ( podél mlatových cest 1,5 m)</t>
  </si>
  <si>
    <t>184807222R00</t>
  </si>
  <si>
    <t>Ochrana stromu při stav. činnosti - ofukování zeminy kolem kořenů vzduchovým rýčem (část koř. systému zasahující do projektovaného mlatového povrchu)</t>
  </si>
  <si>
    <t>Vodorovné přemístění výkopku z hor.1-4 do 10000 m (346 m3 x koef. nakypření 1,22)</t>
  </si>
  <si>
    <t>112_6VD</t>
  </si>
  <si>
    <t>Rovnoměrné promísení materiálu pro zřízení obrusné vrstvy, tl. 30 mm (1173 m2 x tl. 0,03 m x 1,05 koef. sléhavosti)</t>
  </si>
  <si>
    <t>Uložení sypaniny s rozprostřením ve vrstvách a zhutněním</t>
  </si>
  <si>
    <t>Při realizaci mlatového povrchu je nutný dohled dodavatele materiálu na správnou vlhkost materiálu a technologii pokládky.
Hutnění probíhá válcem hm. cca 800 kg, bez vibrace, ručně vedený - 4-5 pojezdů.
- kamenivo drcené fr. 0-32: 1173 m2 x tl. 0,22 m x 1,05 koef. sléhavosti = 271 m3
- kamenivo drcené fr. 0-16: 1173 m2 x tl. 0,06 m x 1,05 koef. sléhavosti = 74 m3
- obrusná vrstva - přírodní min. materiál béžové barvy, fr. 0-5: 1173 m2 x tl. 0,03 x 1,05 koef. sléhavosti = 37 m3</t>
  </si>
  <si>
    <t>182951111R00</t>
  </si>
  <si>
    <t>Položení netkané textilie bez upevnění, s navlhčením( na odkryté kořeny)</t>
  </si>
  <si>
    <t>Kryty štěrkových a živičných pozemních komunikací a zpevněných ploch</t>
  </si>
  <si>
    <t>Dovoz vody pro navlhčení materiálu pro obrusnou vrstvu do 1000 m (cca 10l/m2)</t>
  </si>
  <si>
    <t>57_</t>
  </si>
  <si>
    <t>00011RVD</t>
  </si>
  <si>
    <t>Dovoz materiálu na staveniště vozidlem do 14 t, poplatek za 1 km</t>
  </si>
  <si>
    <t>km</t>
  </si>
  <si>
    <t>Předpokládaná vzdálenost z lomu tam a zpět: 80 km
Maximální hmotnost převáženého materiálu/t: 14
= kamenivo t: 671 t/14 t = 48 potřebných vleček x 80 km = 3840 km
= substrát t:úpravy terénu 15 t/14 t= 2 potřebných vleček x 80 km = 160 km</t>
  </si>
  <si>
    <t>583417003</t>
  </si>
  <si>
    <t>Kamenivo drcené frakce 0-32, tl. 220 mm (1,80 t/271m3)</t>
  </si>
  <si>
    <t>583415004</t>
  </si>
  <si>
    <t>Kamenivo drcené frakce 0-16 , tl. 60 mm (1,65 t/74m3)</t>
  </si>
  <si>
    <t>583412006</t>
  </si>
  <si>
    <t>Kamenivo - přírodní minerální materiál fr. 0-5 béžové barvy, tl. 30 mm (1,65t/37m3)</t>
  </si>
  <si>
    <t>Voda pro zalití</t>
  </si>
  <si>
    <t>58530162.A</t>
  </si>
  <si>
    <t>Vápno bílé CL 90 nehašené (stabilizace podloží), vč. aplikace (3% z 1173 m2 x hl. 0,15 m = 5,3 m3 x objemová hmotnost 1200 kg/m3)</t>
  </si>
  <si>
    <t>Při stabilizaci podloží připočítat k mocnosti výkopku 150 mm!!!
- promísení zeminy po nakypření s vápnem do hl. 150 mm
- posyp křemičitým pískem 50 mm</t>
  </si>
  <si>
    <t>58152190</t>
  </si>
  <si>
    <t>Písek křemičitý ostrohranný (stabilizace podloží), vč. aplikace - 1173 m2 x hl. 0,05 m x 1,45 t/m3</t>
  </si>
  <si>
    <t>67352006</t>
  </si>
  <si>
    <t>Geotextilie netkaná 500 g/m2, ochrana kořenového systému při výkopech v rámci mlatových cest</t>
  </si>
  <si>
    <t>Dosyp kolem mlatových cest 1,5 m.</t>
  </si>
  <si>
    <t>Lem z řezané žuly ( záhon A)</t>
  </si>
  <si>
    <t>Odkopávky při pozemkové úpravě nezapaž.(34 m2 x hl.0,3m)</t>
  </si>
  <si>
    <t>Vodorovné přemístění výkopku z hor.1-4 do 20000 m (10,2m3 x koef. nakypření 1,22)</t>
  </si>
  <si>
    <t>Poplatek za skládku</t>
  </si>
  <si>
    <t>Úprava pláně v zářezech, se zhutněním</t>
  </si>
  <si>
    <t>Doplňující konstrukce a práce na pozemních komunikacích a zpevněných plochách</t>
  </si>
  <si>
    <t>916661111RT5</t>
  </si>
  <si>
    <t>Osazení park. obrubníků do lože z C 16/20 s opěrou vč.materiálu, šířky 0,5 m</t>
  </si>
  <si>
    <t>91_</t>
  </si>
  <si>
    <t>043020RVD</t>
  </si>
  <si>
    <t>Dílenská dokumentace pro zhotovení oblouku z obrubníku</t>
  </si>
  <si>
    <t>58384100R</t>
  </si>
  <si>
    <t>Deska formátovaná (obruba), žula tl.10 cm, 0,5x0,5 m ( 34 m2) + 5% ztratné</t>
  </si>
  <si>
    <t>řezané na míru do oblouku dle výkresu, zpracováno na základě dílenské dokumentace</t>
  </si>
  <si>
    <t>Přesun hmot</t>
  </si>
  <si>
    <t>03_2_</t>
  </si>
  <si>
    <t>04_5_</t>
  </si>
  <si>
    <t>Export Komplet</t>
  </si>
  <si>
    <t>VZ</t>
  </si>
  <si>
    <t>2.0</t>
  </si>
  <si>
    <t>ZAMOK</t>
  </si>
  <si>
    <t>False</t>
  </si>
  <si>
    <t>{b1880ecc-1d93-48ee-b702-d9b473a49b79}</t>
  </si>
  <si>
    <t>0,01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</si>
  <si>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</si>
  <si>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</si>
  <si>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</si>
  <si>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</si>
  <si>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</si>
  <si>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VD00323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</si>
  <si>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</si>
  <si>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</si>
  <si>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Sady Karla IV – revitalizace veřejného prostranství</t>
  </si>
  <si>
    <t>KSO:</t>
  </si>
  <si>
    <t>CC-CZ:</t>
  </si>
  <si>
    <t>Místo:</t>
  </si>
  <si>
    <t>Zadavatel:</t>
  </si>
  <si>
    <t>IČ:</t>
  </si>
  <si>
    <t>DIČ:</t>
  </si>
  <si>
    <t>Uchazeč:</t>
  </si>
  <si>
    <t>Vyplň údaj</t>
  </si>
  <si>
    <t>True</t>
  </si>
  <si>
    <t>Zpracovatel: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</si>
  <si>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</si>
  <si>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</si>
  <si>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</si>
  <si>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</si>
  <si>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</si>
  <si>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</si>
  <si>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</si>
  <si>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</si>
  <si>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</si>
  <si>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</si>
  <si>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</si>
  <si>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</si>
  <si>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</si>
  <si>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</si>
  <si>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</si>
  <si>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</si>
  <si>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</si>
  <si>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</si>
  <si>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</si>
  <si>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</si>
  <si>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</si>
  <si>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</si>
  <si>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</si>
  <si>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</si>
  <si>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</si>
  <si>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</si>
  <si>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</si>
  <si>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</si>
  <si>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</si>
  <si>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</si>
  <si>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</si>
  <si>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</si>
  <si>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</si>
  <si>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</si>
  <si>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</si>
  <si>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</si>
  <si>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SO 101</t>
  </si>
  <si>
    <t>Silnice</t>
  </si>
  <si>
    <t>STA</t>
  </si>
  <si>
    <t>{4bc8da6b-492c-4c52-abc4-db11be292ee0}</t>
  </si>
  <si>
    <t>/</t>
  </si>
  <si>
    <t>Soupis</t>
  </si>
  <si>
    <t>{8860b57c-f553-4c8e-9700-c9022e66f5f9}</t>
  </si>
  <si>
    <t>VRN</t>
  </si>
  <si>
    <t>Vedlejší rozpočtové náklady</t>
  </si>
  <si>
    <t>{693c2fd3-88c5-4137-9caf-10aec62005d4}</t>
  </si>
  <si>
    <t>{6bab629b-2877-44d8-a541-b96529de827c}</t>
  </si>
  <si>
    <t>KRYCÍ LIST SOUPISU PRACÍ</t>
  </si>
  <si>
    <t>Objekt:</t>
  </si>
  <si>
    <t>SO 101 - Silnice</t>
  </si>
  <si>
    <t>Soupis: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</si>
  <si>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</si>
  <si>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</si>
  <si>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</si>
  <si>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</si>
  <si>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</si>
  <si>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</si>
  <si>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</si>
  <si>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</si>
  <si>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</si>
  <si>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</si>
  <si>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</si>
  <si>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</si>
  <si>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</si>
  <si>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</si>
  <si>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</si>
  <si>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</si>
  <si>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</si>
  <si>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</si>
  <si>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</si>
  <si>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</si>
  <si>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</si>
  <si>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</si>
  <si>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</si>
  <si>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</si>
  <si>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</si>
  <si>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</si>
  <si>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</si>
  <si>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</si>
  <si>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</si>
  <si>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02</t>
  </si>
  <si>
    <t>699059498</t>
  </si>
  <si>
    <t>Online PSC</t>
  </si>
  <si>
    <t>https://podminky.urs.cz/item/CS_URS_2023_02/113106123</t>
  </si>
  <si>
    <t>VV</t>
  </si>
  <si>
    <t>"stávající zámk. dlažba tl.60mm" 10</t>
  </si>
  <si>
    <t>113106161</t>
  </si>
  <si>
    <t>Rozebrání dlažeb vozovek a ploch s přemístěním hmot na skládku na vzdálenost do 3 m nebo s naložením na dopravní prostředek, s jakoukoliv výplní spár ručně z drobných kostek nebo odseků s ložem z kameniva</t>
  </si>
  <si>
    <t>-1966207800</t>
  </si>
  <si>
    <t>https://podminky.urs.cz/item/CS_URS_2023_02/113106161</t>
  </si>
  <si>
    <t>"stávající kostka" 150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</si>
  <si>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</si>
  <si>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</si>
  <si>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-1410718797</t>
  </si>
  <si>
    <t>https://podminky.urs.cz/item/CS_URS_2023_02/113107123</t>
  </si>
  <si>
    <t>"odkop kce ŠD tl.300mm na ZÚ u mostu" 12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</si>
  <si>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</si>
  <si>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</si>
  <si>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1086360793</t>
  </si>
  <si>
    <t>https://podminky.urs.cz/item/CS_URS_2023_02/113107142</t>
  </si>
  <si>
    <t>"asfalt tl.100mm na ZÚ u mostu" 12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</si>
  <si>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</si>
  <si>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</si>
  <si>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-161090053</t>
  </si>
  <si>
    <t>https://podminky.urs.cz/item/CS_URS_2023_02/113107162</t>
  </si>
  <si>
    <t>"odkop kce ŠD tl.200mm" 75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</si>
  <si>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</si>
  <si>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</si>
  <si>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1141902397</t>
  </si>
  <si>
    <t>https://podminky.urs.cz/item/CS_URS_2023_02/113107223</t>
  </si>
  <si>
    <t>"odkop kce ŠD tl.300mm chodník" 150</t>
  </si>
  <si>
    <t>"odkop kce ŠD tl.280mm chodník" 280</t>
  </si>
  <si>
    <t>Součet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</si>
  <si>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</si>
  <si>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</si>
  <si>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2131304334</t>
  </si>
  <si>
    <t>https://podminky.urs.cz/item/CS_URS_2023_02/113107225</t>
  </si>
  <si>
    <t>"odkop kce ŠD tl.450mm" 590+(0,6*95)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</si>
  <si>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</si>
  <si>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</si>
  <si>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-1440515863</t>
  </si>
  <si>
    <t>https://podminky.urs.cz/item/CS_URS_2023_02/113107230</t>
  </si>
  <si>
    <t>"podkladní beton tl.100mm chodník" 280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</si>
  <si>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</si>
  <si>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</si>
  <si>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702378020</t>
  </si>
  <si>
    <t>https://podminky.urs.cz/item/CS_URS_2023_02/113107241</t>
  </si>
  <si>
    <t>"stávající asfalt tl.20mm chodník" 280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</si>
  <si>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</si>
  <si>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</si>
  <si>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1854616998</t>
  </si>
  <si>
    <t>https://podminky.urs.cz/item/CS_URS_2023_02/113107324</t>
  </si>
  <si>
    <t>"odkop kce ŠD tl.340mm chodník" 10</t>
  </si>
  <si>
    <t>113154224</t>
  </si>
  <si>
    <t>Frézování živičného podkladu nebo krytu s naložením na dopravní prostředek plochy přes 500 do 1 000 m2 bez překážek v trase pruhu šířky do 1 m, tloušťky vrstvy 100 mm</t>
  </si>
  <si>
    <t>1073685525</t>
  </si>
  <si>
    <t>https://podminky.urs.cz/item/CS_URS_2023_02/113154224</t>
  </si>
  <si>
    <t>"stavající asf. kryt tl.100mm u obrub" 75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</si>
  <si>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</si>
  <si>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</si>
  <si>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-2134467128</t>
  </si>
  <si>
    <t>https://podminky.urs.cz/item/CS_URS_2023_02/113154234</t>
  </si>
  <si>
    <t>"stavající asf. kryt tl.100mm" 590</t>
  </si>
  <si>
    <t>113202111</t>
  </si>
  <si>
    <t>Vytrhání obrub s vybouráním lože, s přemístěním hmot na skládku na vzdálenost do 3 m nebo s naložením na dopravní prostředek z krajníků nebo obrubníků stojatých</t>
  </si>
  <si>
    <t>2066883686</t>
  </si>
  <si>
    <t>https://podminky.urs.cz/item/CS_URS_2023_02/113202111</t>
  </si>
  <si>
    <t>"stávající obruba" 95+120+15</t>
  </si>
  <si>
    <t>113203111</t>
  </si>
  <si>
    <t>Vytrhání obrub s vybouráním lože, s přemístěním hmot na skládku na vzdálenost do 3 m nebo s naložením na dopravní prostředek z dlažebních kostek</t>
  </si>
  <si>
    <t>-795104226</t>
  </si>
  <si>
    <t>https://podminky.urs.cz/item/CS_URS_2023_02/113203111</t>
  </si>
  <si>
    <t>"stávající kostka" 13+35+45</t>
  </si>
  <si>
    <t>122251104</t>
  </si>
  <si>
    <t>Odkopávky a prokopávky nezapažené strojně v hornině třídy těžitelnosti I skupiny 3 přes 100 do 500 m3</t>
  </si>
  <si>
    <t>-1123066693</t>
  </si>
  <si>
    <t>https://podminky.urs.cz/item/CS_URS_2023_02/122251104</t>
  </si>
  <si>
    <t>"odkop pro sanace tl.300mm" 0,3*(590+(95*0,6))</t>
  </si>
  <si>
    <t>"odkop pro nové kce tl.400mm" 0,4*7</t>
  </si>
  <si>
    <t>131251100</t>
  </si>
  <si>
    <t>Hloubení nezapažených jam a zářezů strojně s urovnáním dna do předepsaného profilu a spádu v hornině třídy těžitelnosti I skupiny 3 do 20 m3</t>
  </si>
  <si>
    <t>252704186</t>
  </si>
  <si>
    <t>https://podminky.urs.cz/item/CS_URS_2023_02/131251100</t>
  </si>
  <si>
    <t>"obnova DV" 4*((1,5*1,5*1,5)-(1,5*0,9))</t>
  </si>
  <si>
    <t>132251101</t>
  </si>
  <si>
    <t>Hloubení nezapažených rýh šířky do 800 mm strojně s urovnáním dna do předepsaného profilu a spádu v hornině třídy těžitelnosti I skupiny 3 do 20 m3</t>
  </si>
  <si>
    <t>-1845166495</t>
  </si>
  <si>
    <t>https://podminky.urs.cz/item/CS_URS_2023_02/132251101</t>
  </si>
  <si>
    <t>"rýha pro trativod" 0,12*120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</si>
  <si>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</si>
  <si>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</si>
  <si>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-1589813302</t>
  </si>
  <si>
    <t>https://podminky.urs.cz/item/CS_URS_2023_02/162751117</t>
  </si>
  <si>
    <t>předpokládaná skládka Vintířov 25km</t>
  </si>
  <si>
    <t>"odkop" 196,9+8,1+14,4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</si>
  <si>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</si>
  <si>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</si>
  <si>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-24648533</t>
  </si>
  <si>
    <t>https://podminky.urs.cz/item/CS_URS_2023_02/162751119</t>
  </si>
  <si>
    <t>15*219,4</t>
  </si>
  <si>
    <t>171201231</t>
  </si>
  <si>
    <t>Poplatek za uložení stavebního odpadu na recyklační skládce (skládkovné) zeminy a kamení zatříděného do Katalogu odpadů pod kódem 17 05 04</t>
  </si>
  <si>
    <t>-1523287237</t>
  </si>
  <si>
    <t>https://podminky.urs.cz/item/CS_URS_2023_02/171201231</t>
  </si>
  <si>
    <t>1,8*219,4</t>
  </si>
  <si>
    <t>171251201</t>
  </si>
  <si>
    <t>Uložení sypaniny na skládky nebo meziskládky bez hutnění s upravením uložené sypaniny do předepsaného tvaru</t>
  </si>
  <si>
    <t>1720209501</t>
  </si>
  <si>
    <t>https://podminky.urs.cz/item/CS_URS_2023_02/171251201</t>
  </si>
  <si>
    <t>219,4</t>
  </si>
  <si>
    <t>174151101</t>
  </si>
  <si>
    <t>Zásyp sypaninou z jakékoliv horniny strojně s uložením výkopku ve vrstvách se zhutněním jam, šachet, rýh nebo kolem objektů v těchto vykopávkách</t>
  </si>
  <si>
    <t>1546786162</t>
  </si>
  <si>
    <t>https://podminky.urs.cz/item/CS_URS_2023_02/174151101</t>
  </si>
  <si>
    <t>"obnova DV - ŠD" 4*((1,5*1,5*1,5)-(1,5*0,9))</t>
  </si>
  <si>
    <t>M</t>
  </si>
  <si>
    <t>58344171</t>
  </si>
  <si>
    <t>štěrkodrť frakce 0/32</t>
  </si>
  <si>
    <t>-605594435</t>
  </si>
  <si>
    <t>"obnova DV" 4*((1,5*1,5*1,5)-(1,5*0,9))*2</t>
  </si>
  <si>
    <t>181951112</t>
  </si>
  <si>
    <t>Úprava pláně vyrovnáním výškových rozdílů strojně v hornině třídy těžitelnosti I, skupiny 1 až 3 se zhutněním</t>
  </si>
  <si>
    <t>-1718602795</t>
  </si>
  <si>
    <t>https://podminky.urs.cz/item/CS_URS_2023_02/181951112</t>
  </si>
  <si>
    <t>590+75+12+(0,6*95)+447</t>
  </si>
  <si>
    <t>Zakládání</t>
  </si>
  <si>
    <t>211561111</t>
  </si>
  <si>
    <t>Výplň kamenivem do rýh odvodňovacích žeber nebo trativodů bez zhutnění, s úpravou povrchu výplně kamenivem hrubým drceným frakce 4 až 16 mm</t>
  </si>
  <si>
    <t>-523867630</t>
  </si>
  <si>
    <t>https://podminky.urs.cz/item/CS_URS_2023_02/211561111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</si>
  <si>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</si>
  <si>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</si>
  <si>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-701521296</t>
  </si>
  <si>
    <t>https://podminky.urs.cz/item/CS_URS_2023_02/211971121</t>
  </si>
  <si>
    <t xml:space="preserve">"trativod textilie 300g/m2 š.1,8m" 1,8*120 </t>
  </si>
  <si>
    <t>"drenážní žebro 300g/m2 š.0,9m" 0,9*(24*0,5)</t>
  </si>
  <si>
    <t>69311068</t>
  </si>
  <si>
    <t>geotextilie netkaná separační, ochranná, filtrační, drenážní PP 300g/m2</t>
  </si>
  <si>
    <t>-1928043162</t>
  </si>
  <si>
    <t>"sanace 300g/m2" 590+(0,6*95)</t>
  </si>
  <si>
    <t>873,8*1,1845 'Přepočtené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</si>
  <si>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</si>
  <si>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</si>
  <si>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2085739114</t>
  </si>
  <si>
    <t>https://podminky.urs.cz/item/CS_URS_2023_02/212752401</t>
  </si>
  <si>
    <t>"trativod DN 100" 120</t>
  </si>
  <si>
    <t>213141112</t>
  </si>
  <si>
    <t>Zřízení vrstvy z geotextilie filtrační, separační, odvodňovací, ochranné, výztužné nebo protierozní v rovině nebo ve sklonu do 1:5, šířky přes 3 do 6 m</t>
  </si>
  <si>
    <t>952856017</t>
  </si>
  <si>
    <t>https://podminky.urs.cz/item/CS_URS_2023_02/213141112</t>
  </si>
  <si>
    <t>Komunikace pozemní</t>
  </si>
  <si>
    <t>564851111</t>
  </si>
  <si>
    <t>Podklad ze štěrkodrti ŠD s rozprostřením a zhutněním plochy přes 100 m2, po zhutnění tl. 150 mm</t>
  </si>
  <si>
    <t>-2146059252</t>
  </si>
  <si>
    <t>https://podminky.urs.cz/item/CS_URS_2023_02/564851111</t>
  </si>
  <si>
    <t>"nová kce chodníku ŠDa 0/32" 2*(447+12)</t>
  </si>
  <si>
    <t>564861111</t>
  </si>
  <si>
    <t>Podklad ze štěrkodrti ŠD s rozprostřením a zhutněním plochy přes 100 m2, po zhutnění tl. 200 mm</t>
  </si>
  <si>
    <t>1893551109</t>
  </si>
  <si>
    <t>https://podminky.urs.cz/item/CS_URS_2023_02/564861111</t>
  </si>
  <si>
    <t>"nová kce vozovky ŠDa 0/32" 590+(0,6*95)</t>
  </si>
  <si>
    <t>564871116</t>
  </si>
  <si>
    <t>Podklad ze štěrkodrti ŠD s rozprostřením a zhutněním plochy přes 100 m2, po zhutnění tl. 300 mm</t>
  </si>
  <si>
    <t>-413939454</t>
  </si>
  <si>
    <t>https://podminky.urs.cz/item/CS_URS_2023_02/564871116</t>
  </si>
  <si>
    <t>"sanace ŠDa 0/32" 590+(0,6*95)</t>
  </si>
  <si>
    <t>567132115</t>
  </si>
  <si>
    <t>Podklad ze směsi stmelené cementem SC bez dilatačních spár, s rozprostřením a zhutněním SC C 8/10 (KSC I), po zhutnění tl. 200 mm</t>
  </si>
  <si>
    <t>-2088300034</t>
  </si>
  <si>
    <t>https://podminky.urs.cz/item/CS_URS_2023_02/567132115</t>
  </si>
  <si>
    <t>"nová kce napojení u obrub" 75</t>
  </si>
  <si>
    <t>567142111</t>
  </si>
  <si>
    <t>Podklad ze směsi stmelené cementem SC bez dilatačních spár, s rozprostřením a zhutněním SC C 8/10 (KSC I), po zhutnění tl. 210 mm</t>
  </si>
  <si>
    <t>-327079107</t>
  </si>
  <si>
    <t>https://podminky.urs.cz/item/CS_URS_2023_02/567142111</t>
  </si>
  <si>
    <t>"nová kce vozovky" 590+(0,6*95)</t>
  </si>
  <si>
    <t>573231106</t>
  </si>
  <si>
    <t>Postřik spojovací PS bez posypu kamenivem ze silniční emulze, v množství 0,30 kg/m2</t>
  </si>
  <si>
    <t>1636720729</t>
  </si>
  <si>
    <t>https://podminky.urs.cz/item/CS_URS_2023_02/573231106</t>
  </si>
  <si>
    <t>573231108</t>
  </si>
  <si>
    <t>Postřik spojovací PS bez posypu kamenivem ze silniční emulze, v množství 0,50 kg/m2</t>
  </si>
  <si>
    <t>204708756</t>
  </si>
  <si>
    <t>https://podminky.urs.cz/item/CS_URS_2023_02/573231108</t>
  </si>
  <si>
    <t>577134141.R</t>
  </si>
  <si>
    <t>Asfaltový beton vrstva obrusná ACO 11 (ABS) s rozprostřením a se zhutněním asfaltu tl. 40 mm - RUČNÍ POKLÁDKA</t>
  </si>
  <si>
    <t>-1364938886</t>
  </si>
  <si>
    <t>577155142.R</t>
  </si>
  <si>
    <t>Asfaltový beton vrstva ložní ACL 16 (ABH) s rozprostřením a se zhutněním po zhutnění tl. 60 mm - RUČNÍ POKLÁDKA</t>
  </si>
  <si>
    <t>1247497535</t>
  </si>
  <si>
    <t>591211111.1</t>
  </si>
  <si>
    <t>Kladení dlažby z kostek s provedením lože do tl. 50 mm, s vyplněním spár, s dvojím beraněním a se smetením přebytečného materiálu na krajnici drobných z kamene, do lože z kameniva těženého</t>
  </si>
  <si>
    <t>1823617969</t>
  </si>
  <si>
    <t>https://podminky.urs.cz/item/CS_URS_2023_02/591211111.1</t>
  </si>
  <si>
    <t>Výplň spár dlažby bude proveden pískem</t>
  </si>
  <si>
    <t>58381015</t>
  </si>
  <si>
    <t>kostka řezanoštípaná dlažební žula 10x10x10cm - BÉŽOVÁ</t>
  </si>
  <si>
    <t>-809153735</t>
  </si>
  <si>
    <t>590*1,02 'Přepočtené koeficientem množství</t>
  </si>
  <si>
    <t>591211111.2</t>
  </si>
  <si>
    <t>1746008228</t>
  </si>
  <si>
    <t>https://podminky.urs.cz/item/CS_URS_2023_02/591211111.2</t>
  </si>
  <si>
    <t>"nová kce chodníku do lože DK 4/8 tl.40mm" 392,5+6,3+36,2+24</t>
  </si>
  <si>
    <t>5838101.R</t>
  </si>
  <si>
    <t>kostka řezanoštípaná dlažební žula 6x6x6cm - BÉŽOVÁ</t>
  </si>
  <si>
    <t>-2045978411</t>
  </si>
  <si>
    <t>392,5*1,02 'Přepočtené koeficientem množství</t>
  </si>
  <si>
    <t>5838102.R</t>
  </si>
  <si>
    <t>kostka řezanoštípaná dlažební žula 20x20x6cm - SLEPECKÁ SVĚTLÁ</t>
  </si>
  <si>
    <t>-1238403556</t>
  </si>
  <si>
    <t>6,3*1,02 'Přepočtené koeficientem množství</t>
  </si>
  <si>
    <t>5838103.R</t>
  </si>
  <si>
    <t>kostka řezanoštípaná dlažební žula 20x20x6cm - HLADKÁ TMAVÁ</t>
  </si>
  <si>
    <t>1223256431</t>
  </si>
  <si>
    <t>36,2*1,02 'Přepočtené koeficientem množství</t>
  </si>
  <si>
    <t>5838104.R</t>
  </si>
  <si>
    <t>kostka řezanoštípaná dlažební žula 20x20x6cm - VODÍCÍ LINIE</t>
  </si>
  <si>
    <t>277072884</t>
  </si>
  <si>
    <t>24*1,02 'Přepočtené koeficientem množství</t>
  </si>
  <si>
    <t>Trubní vedení</t>
  </si>
  <si>
    <t>8959.R</t>
  </si>
  <si>
    <t>Vybourání stávající DV</t>
  </si>
  <si>
    <t>-1478686672</t>
  </si>
  <si>
    <t>"obnova DV včetně naložení" 4</t>
  </si>
  <si>
    <t>8959411.R</t>
  </si>
  <si>
    <t>Zřízení vpusti kanalizační uliční z betonových dílců typ UV-50 normální</t>
  </si>
  <si>
    <t>1784759277</t>
  </si>
  <si>
    <t>"včetně dodání bet. dílců a pročištění přípojky" 4</t>
  </si>
  <si>
    <t>899203211</t>
  </si>
  <si>
    <t>Demontáž mříží litinových včetně rámů, hmotnosti jednotlivě přes 100 do 150 Kg</t>
  </si>
  <si>
    <t>1149977950</t>
  </si>
  <si>
    <t>https://podminky.urs.cz/item/CS_URS_2023_02/899203211</t>
  </si>
  <si>
    <t>"obnova DV" 4</t>
  </si>
  <si>
    <t>899204112</t>
  </si>
  <si>
    <t>Osazení mříží litinových včetně rámů a košů na bahno pro třídu zatížení D400, E600</t>
  </si>
  <si>
    <t>-146530003</t>
  </si>
  <si>
    <t>https://podminky.urs.cz/item/CS_URS_2023_02/899204112</t>
  </si>
  <si>
    <t>55241040</t>
  </si>
  <si>
    <t>mříž litinová 600/40T, 420X620 D400</t>
  </si>
  <si>
    <t>-1336503177</t>
  </si>
  <si>
    <t>55241001</t>
  </si>
  <si>
    <t>koš kalový pod kruhovou mříž - těžký</t>
  </si>
  <si>
    <t>1486716392</t>
  </si>
  <si>
    <t>899231111</t>
  </si>
  <si>
    <t>Výšková úprava uličního vstupu nebo vpusti do 200 mm zvýšením mříže</t>
  </si>
  <si>
    <t>-2114429874</t>
  </si>
  <si>
    <t>899331111</t>
  </si>
  <si>
    <t>Výšková úprava uličního vstupu nebo vpusti do 200 mm zvýšením poklopu</t>
  </si>
  <si>
    <t>1571336349</t>
  </si>
  <si>
    <t>Ostatní konstrukce a práce, bourání</t>
  </si>
  <si>
    <t>914111111</t>
  </si>
  <si>
    <t>Montáž svislé dopravní značky základní velikosti do 1 m2 objímkami na sloupky nebo konzoly</t>
  </si>
  <si>
    <t>176935029</t>
  </si>
  <si>
    <t>https://podminky.urs.cz/item/CS_URS_2023_02/914111111</t>
  </si>
  <si>
    <t>"E13" 1</t>
  </si>
  <si>
    <t>"IP13b" 1</t>
  </si>
  <si>
    <t>"IJ4b" 1</t>
  </si>
  <si>
    <t>40445625</t>
  </si>
  <si>
    <t>informativní značky provozní IP8, IP9, IP11-IP13 500x700mm</t>
  </si>
  <si>
    <t>-1853640976</t>
  </si>
  <si>
    <t>40445645</t>
  </si>
  <si>
    <t>informativní značky jiné IJ4b 500mm</t>
  </si>
  <si>
    <t>-868355189</t>
  </si>
  <si>
    <t>40445650</t>
  </si>
  <si>
    <t>dodatkové tabulky E7, E12, E13 500x300mm</t>
  </si>
  <si>
    <t>-1772531897</t>
  </si>
  <si>
    <t>914111121</t>
  </si>
  <si>
    <t>Montáž svislé dopravní značky základní velikosti do 2 m2 objímkami na sloupky nebo konzoly</t>
  </si>
  <si>
    <t>1031730114</t>
  </si>
  <si>
    <t>https://podminky.urs.cz/item/CS_URS_2023_02/914111121</t>
  </si>
  <si>
    <t>"IZ8a" 1</t>
  </si>
  <si>
    <t>"IZ8b" 1</t>
  </si>
  <si>
    <t>40445655</t>
  </si>
  <si>
    <t>informativní značky zónové IZ6, IZ7 1000x1500mm</t>
  </si>
  <si>
    <t>-663176769</t>
  </si>
  <si>
    <t>914511112</t>
  </si>
  <si>
    <t>Montáž sloupku dopravních značek délky do 3,5 m do hliníkové patky pro sloupek D 60 mm</t>
  </si>
  <si>
    <t>2112766829</t>
  </si>
  <si>
    <t>https://podminky.urs.cz/item/CS_URS_2023_02/914511112</t>
  </si>
  <si>
    <t>"nové sloupky DZ" 4</t>
  </si>
  <si>
    <t>40445225</t>
  </si>
  <si>
    <t>sloupek pro dopravní značku Zn D 60mm v 3,5m</t>
  </si>
  <si>
    <t>-898215015</t>
  </si>
  <si>
    <t>40445240</t>
  </si>
  <si>
    <t>patka pro sloupek Al D 60mm</t>
  </si>
  <si>
    <t>1829582285</t>
  </si>
  <si>
    <t>40445256</t>
  </si>
  <si>
    <t>svorka upínací na sloupek dopravní značky D 60mm</t>
  </si>
  <si>
    <t>-2028878902</t>
  </si>
  <si>
    <t>40445253</t>
  </si>
  <si>
    <t>víčko plastové na sloupek D 60mm</t>
  </si>
  <si>
    <t>1187842982</t>
  </si>
  <si>
    <t>915211112</t>
  </si>
  <si>
    <t>Vodorovné dopravní značení stříkaným plastem dělící čára šířky 125 mm souvislá bílá retroreflexní</t>
  </si>
  <si>
    <t>-369712229</t>
  </si>
  <si>
    <t>https://podminky.urs.cz/item/CS_URS_2023_02/915211112</t>
  </si>
  <si>
    <t>"V10e - bez zvučícího efektu" 63</t>
  </si>
  <si>
    <t>915231112</t>
  </si>
  <si>
    <t>Vodorovné dopravní značení stříkaným plastem přechody pro chodce, šipky, symboly nápisy bílé retroreflexní</t>
  </si>
  <si>
    <t>823416466</t>
  </si>
  <si>
    <t>https://podminky.urs.cz/item/CS_URS_2023_02/915231112</t>
  </si>
  <si>
    <t>"V11a - bez zvučícího efektu" 10</t>
  </si>
  <si>
    <t>915611111</t>
  </si>
  <si>
    <t>Předznačení pro vodorovné značení stříkané barvou nebo prováděné z nátěrových hmot liniové dělicí čáry, vodicí proužky</t>
  </si>
  <si>
    <t>-441575697</t>
  </si>
  <si>
    <t>https://podminky.urs.cz/item/CS_URS_2023_02/915611111</t>
  </si>
  <si>
    <t>915621111</t>
  </si>
  <si>
    <t>Předznačení pro vodorovné značení stříkané barvou nebo prováděné z nátěrových hmot plošné šipky, symboly, nápisy</t>
  </si>
  <si>
    <t>10028781</t>
  </si>
  <si>
    <t>https://podminky.urs.cz/item/CS_URS_2023_02/915621111</t>
  </si>
  <si>
    <t>916241213</t>
  </si>
  <si>
    <t>Osazení obrubníku kamenného se zřízením lože, s vyplněním a zatřením spár cementovou maltou stojatého s boční opěrou z betonu prostého, do lože z betonu prostého</t>
  </si>
  <si>
    <t>353223397</t>
  </si>
  <si>
    <t>https://podminky.urs.cz/item/CS_URS_2023_02/916241213</t>
  </si>
  <si>
    <t>"nová obruba - výškové osazení dle PD" 96+134+15+102</t>
  </si>
  <si>
    <t>5838031.R</t>
  </si>
  <si>
    <t>obrubník kamenný žulový 500x500x120mm</t>
  </si>
  <si>
    <t>678800936</t>
  </si>
  <si>
    <t>včetně řezání v předepsaných poloměrech</t>
  </si>
  <si>
    <t>"96+3%" 99</t>
  </si>
  <si>
    <t>5838032.R</t>
  </si>
  <si>
    <t>obrubník kamenný žulový 500x250x120mm</t>
  </si>
  <si>
    <t>404281698</t>
  </si>
  <si>
    <t>"134+3%" 139</t>
  </si>
  <si>
    <t>5838033.R</t>
  </si>
  <si>
    <t>obrubník kamenný žulový 500x250x250mm</t>
  </si>
  <si>
    <t>-1791015621</t>
  </si>
  <si>
    <t>"15+3%" 16</t>
  </si>
  <si>
    <t>5838034.R</t>
  </si>
  <si>
    <t>obrubník kamenný žulový 500x200x100mm</t>
  </si>
  <si>
    <t>-1749316713</t>
  </si>
  <si>
    <t>"102+3%" 106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</si>
  <si>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</si>
  <si>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</si>
  <si>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-357448589</t>
  </si>
  <si>
    <t>https://podminky.urs.cz/item/CS_URS_2023_02/919732211</t>
  </si>
  <si>
    <t>"zařezání v místech napojení a u výměny obrub" 6+4,6+27,1+150,5</t>
  </si>
  <si>
    <t>919735112</t>
  </si>
  <si>
    <t>Řezání stávajícího živičného krytu nebo podkladu hloubky přes 50 do 100 mm</t>
  </si>
  <si>
    <t>-1998720998</t>
  </si>
  <si>
    <t>https://podminky.urs.cz/item/CS_URS_2023_02/919735112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</si>
  <si>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</si>
  <si>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</si>
  <si>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-72213957</t>
  </si>
  <si>
    <t>https://podminky.urs.cz/item/CS_URS_2023_02/966006132</t>
  </si>
  <si>
    <t>"stávající sloupky DZ" 3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</si>
  <si>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</si>
  <si>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</si>
  <si>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2003620494</t>
  </si>
  <si>
    <t>https://podminky.urs.cz/item/CS_URS_2023_02/966006211</t>
  </si>
  <si>
    <t>"stávající SDZ" 5</t>
  </si>
  <si>
    <t>997</t>
  </si>
  <si>
    <t>Přesun sutě</t>
  </si>
  <si>
    <t>997013861</t>
  </si>
  <si>
    <t>Poplatek za uložení stavebního odpadu na recyklační skládce (skládkovné) z prostého betonu zatříděného do Katalogu odpadů pod kódem 17 01 01</t>
  </si>
  <si>
    <t>-1305185449</t>
  </si>
  <si>
    <t>https://podminky.urs.cz/item/CS_URS_2023_02/997013861</t>
  </si>
  <si>
    <t>6+1,32+61,6+47,15+10,695+0,27</t>
  </si>
  <si>
    <t>997013873</t>
  </si>
  <si>
    <t>-1144665741</t>
  </si>
  <si>
    <t>https://podminky.urs.cz/item/CS_URS_2023_02/997013873</t>
  </si>
  <si>
    <t>30+7,2+30+90+156,8+582,3+6,8</t>
  </si>
  <si>
    <t>997013875</t>
  </si>
  <si>
    <t>Poplatek za uložení stavebního odpadu na recyklační skládce (skládkovné) asfaltového bez obsahu dehtu zatříděného do Katalogu odpadů pod kódem 17 03 02</t>
  </si>
  <si>
    <t>783649685</t>
  </si>
  <si>
    <t>https://podminky.urs.cz/item/CS_URS_2023_02/997013875</t>
  </si>
  <si>
    <t>2,88+13,44+159,6</t>
  </si>
  <si>
    <t>997211511</t>
  </si>
  <si>
    <t>Vodorovná doprava suti nebo vybouraných hmot suti se složením a hrubým urovnáním, na vzdálenost do 1 km</t>
  </si>
  <si>
    <t>787409379</t>
  </si>
  <si>
    <t>https://podminky.urs.cz/item/CS_URS_2023_02/997211511</t>
  </si>
  <si>
    <t>beton</t>
  </si>
  <si>
    <t>"vybourání DV" 4*1,5</t>
  </si>
  <si>
    <t>"stávající zámk. dlažba tl.600mm" 10*0,06*2,2</t>
  </si>
  <si>
    <t>"podkladní beton tl.100mm chodník" 280*0,1*2,2</t>
  </si>
  <si>
    <t>"stávající obruba" (95+120+15)*0,205</t>
  </si>
  <si>
    <t>"stávající kostka" (13+35+45)*0,115</t>
  </si>
  <si>
    <t>"stávající sloupky DZ" 3*0,09</t>
  </si>
  <si>
    <t>Mezisoučet</t>
  </si>
  <si>
    <t>kamenivo</t>
  </si>
  <si>
    <t>"stávající kostka" 150*0,1*2</t>
  </si>
  <si>
    <t>"odkop kce ŠD tl.300mm na ZÚ u mostu" 12*0,3*2</t>
  </si>
  <si>
    <t>"odkop kce ŠD tl.200mm" 75*0,2*2</t>
  </si>
  <si>
    <t>"odkop kce ŠD tl.300mm chodník" 150*0,3*2</t>
  </si>
  <si>
    <t>"odkop kce ŠD tl.280mm chodník" 280*0,28*2</t>
  </si>
  <si>
    <t>"odkop kce ŠD tl.450mm" (590+(0,6*95))*0,45*2</t>
  </si>
  <si>
    <t>"odkop kce ŠD tl.340mm chodník" 10*0,34*2</t>
  </si>
  <si>
    <t>asfalt</t>
  </si>
  <si>
    <t>"asfalt tl.100mm na ZÚ u mostu" 12*0,1*2,4</t>
  </si>
  <si>
    <t>"stávající asfalt tl.20mm chodník" 280*0,02*2,4</t>
  </si>
  <si>
    <t>"stavající asf. kryt tl.100mm" (590+75)*0,1*2,4</t>
  </si>
  <si>
    <t>997211519</t>
  </si>
  <si>
    <t>Vodorovná doprava suti nebo vybouraných hmot suti se složením a hrubým urovnáním, na vzdálenost Příplatek k ceně za každý další i započatý 1 km přes 1 km</t>
  </si>
  <si>
    <t>1975154718</t>
  </si>
  <si>
    <t>https://podminky.urs.cz/item/CS_URS_2023_02/997211519</t>
  </si>
  <si>
    <t>24*1206,055</t>
  </si>
  <si>
    <t>998</t>
  </si>
  <si>
    <t>998223011</t>
  </si>
  <si>
    <t>Přesun hmot pro pozemní komunikace s krytem dlážděným dopravní vzdálenost do 200 m jakékoliv délky objektu</t>
  </si>
  <si>
    <t>49025694</t>
  </si>
  <si>
    <t>https://podminky.urs.cz/item/CS_URS_2023_02/998223011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</si>
  <si>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</si>
  <si>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</si>
  <si>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</si>
  <si>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</si>
  <si>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</si>
  <si>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</si>
  <si>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011414000</t>
  </si>
  <si>
    <t>Průzkum výskytu odpadu</t>
  </si>
  <si>
    <t>1024</t>
  </si>
  <si>
    <t>1774597969</t>
  </si>
  <si>
    <t>012103000</t>
  </si>
  <si>
    <t>Geodetické práce před výstavbou</t>
  </si>
  <si>
    <t>1479007803</t>
  </si>
  <si>
    <t>012303000</t>
  </si>
  <si>
    <t>Geodetické práce po výstavbě</t>
  </si>
  <si>
    <t>207996329</t>
  </si>
  <si>
    <t>013254000</t>
  </si>
  <si>
    <t>Dokumentace skutečného provedení stavby</t>
  </si>
  <si>
    <t>450833819</t>
  </si>
  <si>
    <t>VRN3</t>
  </si>
  <si>
    <t>032002000</t>
  </si>
  <si>
    <t>Vybavení staveniště</t>
  </si>
  <si>
    <t>-448220453</t>
  </si>
  <si>
    <t>034303000</t>
  </si>
  <si>
    <t>Dopravní značení na staveništi</t>
  </si>
  <si>
    <t>-1673288074</t>
  </si>
  <si>
    <t>"dopravně inženýrská opatření" 1</t>
  </si>
  <si>
    <t>039002000</t>
  </si>
  <si>
    <t>Zrušení zařízení staveniště</t>
  </si>
  <si>
    <t>-1581524967</t>
  </si>
  <si>
    <t>VRN4</t>
  </si>
  <si>
    <t>Inženýrská činnost</t>
  </si>
  <si>
    <t>043194000</t>
  </si>
  <si>
    <t>Ostatní zkoušky</t>
  </si>
  <si>
    <t>-232748956</t>
  </si>
  <si>
    <t>043203000</t>
  </si>
  <si>
    <t>Měření, monitoring, rozbory bez rozlišení - VZORKOVÁNÍ</t>
  </si>
  <si>
    <t>129215176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</si>
  <si>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</si>
  <si>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</si>
  <si>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</si>
  <si>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</si>
  <si>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</si>
  <si>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</si>
  <si>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</si>
  <si>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</si>
  <si>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</si>
  <si>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</si>
  <si>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</si>
  <si>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</si>
  <si>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</si>
  <si>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</si>
  <si>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</si>
  <si>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</si>
  <si>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</si>
  <si>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</si>
  <si>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</si>
  <si>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</si>
  <si>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</si>
  <si>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</si>
  <si>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</si>
  <si>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</si>
  <si>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</si>
  <si>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</si>
  <si>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</si>
  <si>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</si>
  <si>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</si>
  <si>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</si>
  <si>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</si>
  <si>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</si>
  <si>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</si>
  <si>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</si>
  <si>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</si>
  <si>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</si>
  <si>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</si>
  <si>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</si>
  <si>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</si>
  <si>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</si>
  <si>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</si>
  <si>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</si>
  <si>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</si>
  <si>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</si>
  <si>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</si>
  <si>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</si>
  <si>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</si>
  <si>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</si>
  <si>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</si>
  <si>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</si>
  <si>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</si>
  <si>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</si>
  <si>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</si>
  <si>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</si>
  <si>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</si>
  <si>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</si>
  <si>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</si>
  <si>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</si>
  <si>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</si>
  <si>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</si>
  <si>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</si>
  <si>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</si>
  <si>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</si>
  <si>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</si>
  <si>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</si>
  <si>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</si>
  <si>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</si>
  <si>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</si>
  <si>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</si>
  <si>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</si>
  <si>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</si>
  <si>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</si>
  <si>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</si>
  <si>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</si>
  <si>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</si>
  <si>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</si>
  <si>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</si>
  <si>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</si>
  <si>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</si>
  <si>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</si>
  <si>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</si>
  <si>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</si>
  <si>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</si>
  <si>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</si>
  <si>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</si>
  <si>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</si>
  <si>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</si>
  <si>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</si>
  <si>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</si>
  <si>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</si>
  <si>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</si>
  <si>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</si>
  <si>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</si>
  <si>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</si>
  <si>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</si>
  <si>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</si>
  <si>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</si>
  <si>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</si>
  <si>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</si>
  <si>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</si>
  <si>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</si>
  <si>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</si>
  <si>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</si>
  <si>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</si>
  <si>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</si>
  <si>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</si>
  <si>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</si>
  <si>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</si>
  <si>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</si>
  <si>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</si>
  <si>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</si>
  <si>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</si>
  <si>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</si>
  <si>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</si>
  <si>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</si>
  <si>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</si>
  <si>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</si>
  <si>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</si>
  <si>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</si>
  <si>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</si>
  <si>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</si>
  <si>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</si>
  <si>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</si>
  <si>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</si>
  <si>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</si>
  <si>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</si>
  <si>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</si>
  <si>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</si>
  <si>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</si>
  <si>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</si>
  <si>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</si>
  <si>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</si>
  <si>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</si>
  <si>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</si>
  <si>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</si>
  <si>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</si>
  <si>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</si>
  <si>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</si>
  <si>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</si>
  <si>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</si>
  <si>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</si>
  <si>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</si>
  <si>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</si>
  <si>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</si>
  <si>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</si>
  <si>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</si>
  <si>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</si>
  <si>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</si>
  <si>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</si>
  <si>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</si>
  <si>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</si>
  <si>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</si>
  <si>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</si>
  <si>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</si>
  <si>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</si>
  <si>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</si>
  <si>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</si>
  <si>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</si>
  <si>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</si>
  <si>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</si>
  <si>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</si>
  <si>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</si>
  <si>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</si>
  <si>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</si>
  <si>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</si>
  <si>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</si>
  <si>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</si>
  <si>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</si>
  <si>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</si>
  <si>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</si>
  <si>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</si>
  <si>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</si>
  <si>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</si>
  <si>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</si>
  <si>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</si>
  <si>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</si>
  <si>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</si>
  <si>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</si>
  <si>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</si>
  <si>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</si>
  <si>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nová kotvící část pro přesun svítidel</t>
  </si>
  <si>
    <r>
      <rPr>
        <b/>
        <sz val="11"/>
        <color theme="1"/>
        <rFont val="Calibri"/>
        <family val="2"/>
        <scheme val="minor"/>
      </rPr>
      <t>svítidlo typ B</t>
    </r>
    <r>
      <rPr>
        <sz val="11"/>
        <color theme="1"/>
        <rFont val="Calibri"/>
        <family val="2"/>
        <scheme val="minor"/>
      </rPr>
      <t xml:space="preserve"> - historický litinový sloup a litinová lucerna vč. kotevního základu, sloup typ. B 3,9m se znakem města Karlovy Vary - bližší specifikace dle domluvy s archytektem a investorem</t>
    </r>
  </si>
  <si>
    <r>
      <rPr>
        <b/>
        <sz val="11"/>
        <color theme="1"/>
        <rFont val="Calibri"/>
        <family val="2"/>
        <scheme val="minor"/>
      </rPr>
      <t>svítidlo typ C</t>
    </r>
    <r>
      <rPr>
        <sz val="11"/>
        <color theme="1"/>
        <rFont val="Calibri"/>
        <family val="2"/>
        <scheme val="minor"/>
      </rPr>
      <t xml:space="preserve"> - zemní LED svítidlo IP67, 213mm,  3000K,  12,5W,  230V,  870lm, tělo ocel vč, montážního pouzdra, životnost min. 30 000hod.</t>
    </r>
  </si>
  <si>
    <r>
      <t>svítidlo typ D</t>
    </r>
    <r>
      <rPr>
        <sz val="11"/>
        <color theme="1"/>
        <rFont val="Calibri"/>
        <family val="2"/>
        <scheme val="minor"/>
      </rPr>
      <t xml:space="preserve"> -  zemní LED svítidlo IP67, 213mm,  3000K,  12,5W,  230V,  870lm, tělo ocel vč, montážního pouzdra, životnost min. 30 000hod.</t>
    </r>
  </si>
  <si>
    <t>renovace (obroušení, nový natěr RAL 6012) - stávajících ponechaných a přesunutých svítidel VO</t>
  </si>
  <si>
    <t>Komunikační brána 4G/ 3G‐LoRa komunikace max. 25 modulů vč. ročního poplatku</t>
  </si>
  <si>
    <t>Zazimování závlahy</t>
  </si>
  <si>
    <t>DPH 15%</t>
  </si>
  <si>
    <t>Základ 15%</t>
  </si>
  <si>
    <t>18. 12. 2023</t>
  </si>
  <si>
    <t>Typ položky: K - konstrukce, M - materiál, PP - plný popis, PSC - poznámka k souboru cen,  P - poznámka k položce, VV - výkaz výměr, FIG - rozpad figur</t>
  </si>
  <si>
    <t>fig</t>
  </si>
  <si>
    <t>Rozpad figur</t>
  </si>
  <si>
    <t>SO 03 - Mobiliář</t>
  </si>
  <si>
    <t>Rozebrání dlažeb ze zámkových dlaždic komunikací pro pěší ručně</t>
  </si>
  <si>
    <t>PP</t>
  </si>
  <si>
    <t>Rozebrání dlažeb vozovek z drobných kostek s ložem z kameniva ručně</t>
  </si>
  <si>
    <t>Odstranění podkladu z kameniva drceného tl přes 200 do 300 mm ručně</t>
  </si>
  <si>
    <t>Odstranění podkladu živičného tl přes 50 do 100 mm ručně</t>
  </si>
  <si>
    <t>Odstranění podkladu z kameniva drceného tl přes 100 do 200 mm strojně pl přes 50 do 200 m2</t>
  </si>
  <si>
    <t>Odstranění podkladu z kameniva drceného tl přes 200 do 300 mm strojně pl přes 200 m2</t>
  </si>
  <si>
    <t>Odstranění podkladu z kameniva drceného tl přes 400 do 500 mm strojně pl přes 200 m2</t>
  </si>
  <si>
    <t>Odstranění podkladu z betonu prostého tl do 100 mm strojně pl přes 200 m2</t>
  </si>
  <si>
    <t>Odstranění podkladu živičného tl 50 mm strojně pl přes 200 m2</t>
  </si>
  <si>
    <t>Odstranění podkladu z kameniva drceného tl přes 300 do 400 mm strojně pl do 50 m2</t>
  </si>
  <si>
    <t>Frézování živičného krytu tl 100 mm pruh š přes 0,5 do 1 m pl přes 500 do 1000 m2 bez překážek v trase</t>
  </si>
  <si>
    <t>Frézování živičného krytu tl 100 mm pruh š přes 1 do 2 m pl přes 500 do 1000 m2 bez překážek v trase</t>
  </si>
  <si>
    <t>Vytrhání obrub krajníků obrubníků stojatých</t>
  </si>
  <si>
    <t>Vytrhání obrub z dlažebních kostek</t>
  </si>
  <si>
    <t>Odkopávky a prokopávky nezapažené v hornině třídy těžitelnosti I skupiny 3 objem do 500 m3 strojně</t>
  </si>
  <si>
    <t>Hloubení jam nezapažených v hornině třídy těžitelnosti I skupiny 3 objem do 20 m3 strojně</t>
  </si>
  <si>
    <t>Hloubení rýh nezapažených š do 800 mm v hornině třídy těžitelnosti I skupiny 3 objem do 20 m3 strojně</t>
  </si>
  <si>
    <t>Vodorovné přemístění přes 9 000 do 10000 m výkopku/sypaniny z horniny třídy těžitelnosti I skupiny 1 až 3</t>
  </si>
  <si>
    <t>Příplatek k vodorovnému přemístění výkopku/sypaniny z horniny třídy těžitelnosti I skupiny 1 až 3 ZKD 1000 m přes 10000 m</t>
  </si>
  <si>
    <t>Poplatek za uložení zeminy a kamení na recyklační skládce (skládkovné) kód odpadu 17 05 04</t>
  </si>
  <si>
    <t>Uložení sypaniny na skládky nebo meziskládky</t>
  </si>
  <si>
    <t>Zásyp jam, šachet rýh nebo kolem objektů sypaninou se zhutněním</t>
  </si>
  <si>
    <t>Úprava pláně v hornině třídy těžitelnosti I skupiny 1 až 3 se zhutněním strojně</t>
  </si>
  <si>
    <t>Výplň odvodňovacích žeber nebo trativodů kamenivem hrubým drceným frakce 4 až 16 mm</t>
  </si>
  <si>
    <t>"prostup vrstvou SC - HDK 8/16" 0,035*(24*0,5)</t>
  </si>
  <si>
    <t>Zřízení opláštění žeber nebo trativodů geotextilií v rýze nebo zářezu sklonu přes 1:2 š do 2,5 m</t>
  </si>
  <si>
    <t>Trativod z drenážních trubek korugovaných PE-HD SN 8 perforace 360° včetně lože otevřený výkop DN 100 pro liniové stavby</t>
  </si>
  <si>
    <t>Zřízení vrstvy z geotextilie v rovině nebo ve sklonu do 1:5 š přes 3 do 6 m</t>
  </si>
  <si>
    <t>Podklad ze štěrkodrtě ŠD plochy přes 100 m2 tl 150 mm</t>
  </si>
  <si>
    <t>Podklad ze štěrkodrtě ŠD plochy přes 100 m2 tl 200 mm</t>
  </si>
  <si>
    <t>Podklad ze štěrkodrtě ŠD plochy přes 100 m2 tl. 300 mm</t>
  </si>
  <si>
    <t>Podklad ze směsi stmelené cementem SC C 8/10 (KSC I) tl 200 mm</t>
  </si>
  <si>
    <t>Podklad ze směsi stmelené cementem SC C 8/10 (KSC I) tl 210 mm</t>
  </si>
  <si>
    <t>Postřik živičný spojovací ze silniční emulze v množství 0,30 kg/m2</t>
  </si>
  <si>
    <t>Postřik živičný spojovací ze silniční emulze v množství 0,50 kg/m2</t>
  </si>
  <si>
    <t>Kladení dlažby z kostek drobných z kamene do lože z kameniva těženého tl 50 mm</t>
  </si>
  <si>
    <t>"nová kce vozovky do maltového lože tl. 40mm" 590</t>
  </si>
  <si>
    <t>Demontáž mříží litinových včetně rámů hmotnosti přes 100 do 150 kg</t>
  </si>
  <si>
    <t>Montáž svislé dopravní značky do velikosti 1 m2 objímkami na sloupek nebo konzolu</t>
  </si>
  <si>
    <t>Montáž svislé dopravní značky do velikosti 2 m2 objímkami na sloupek nebo konzolu</t>
  </si>
  <si>
    <t>Montáž sloupku dopravních značek délky do 3,5 m s betonovým základem a patkou D 60 mm</t>
  </si>
  <si>
    <t>Vodorovné dopravní značení dělící čáry souvislé š 125 mm retroreflexní bílý plast</t>
  </si>
  <si>
    <t>Vodorovné dopravní značení přechody pro chodce, šipky, symboly retroreflexní bílý plast</t>
  </si>
  <si>
    <t>Předznačení vodorovného liniového značení</t>
  </si>
  <si>
    <t>Předznačení vodorovného plošného značení</t>
  </si>
  <si>
    <t>Osazení obrubníku kamenného stojatého s boční opěrou do lože z betonu prostého</t>
  </si>
  <si>
    <t>Styčná spára napojení nového živičného povrchu na stávající za tepla š 15 mm hl 25 mm s prořezáním</t>
  </si>
  <si>
    <t>Řezání stávajícího živičného krytu hl přes 50 do 100 mm</t>
  </si>
  <si>
    <t>Odstranění značek dopravních nebo orientačních se sloupky s betonovými patkami</t>
  </si>
  <si>
    <t>Odstranění svislých dopravních značek ze sloupů, sloupků nebo konzol</t>
  </si>
  <si>
    <t>Poplatek za uložení stavebního odpadu na recyklační skládce (skládkovné) z prostého betonu kód odpadu 17 01 01</t>
  </si>
  <si>
    <t>Vodorovná doprava suti po suchu na vzdálenost do 1 km</t>
  </si>
  <si>
    <t>Příplatek ZKD 1 km u vodorovné dopravy suti</t>
  </si>
  <si>
    <t>Přesun hmot pro pozemní komunikace s krytem dlážděným</t>
  </si>
  <si>
    <t xml:space="preserve">    VRN7 - Provozní vlivy</t>
  </si>
  <si>
    <t>VRN7</t>
  </si>
  <si>
    <t>Provozní vlivy</t>
  </si>
  <si>
    <t>071203000</t>
  </si>
  <si>
    <t>606914690</t>
  </si>
  <si>
    <t>SO04_Mobiliář a drobná architektura</t>
  </si>
  <si>
    <t>Asanace drobný mobiliář</t>
  </si>
  <si>
    <t>96</t>
  </si>
  <si>
    <t>Bourání konstrukcí</t>
  </si>
  <si>
    <t>961044111R00</t>
  </si>
  <si>
    <t>Bourání základů z betonu prostého ( koše, infocedule)</t>
  </si>
  <si>
    <t>96_</t>
  </si>
  <si>
    <t>966077121R00</t>
  </si>
  <si>
    <t>Odstranění doplňkových konstrukcí do 50 kg</t>
  </si>
  <si>
    <t>lavičky 3ks, koše 2 ks</t>
  </si>
  <si>
    <t>966077141R00</t>
  </si>
  <si>
    <t>Odstranění doplňkových konstrukcí do 500 kg</t>
  </si>
  <si>
    <t>infocedule</t>
  </si>
  <si>
    <t>966077151R00</t>
  </si>
  <si>
    <t>Odstranění doplňkových konstrukcí do 1000 kg</t>
  </si>
  <si>
    <t>altán, autobusová zastávka</t>
  </si>
  <si>
    <t>Vodorovné přemístění suti do 20000 m, vč. naložení na dopr. prostředek do 12 t a složení</t>
  </si>
  <si>
    <t>Asanace řetězový plůtek</t>
  </si>
  <si>
    <t>Bourání základů z betonu prostého</t>
  </si>
  <si>
    <t>76296389R</t>
  </si>
  <si>
    <t>Demontáž řetězového plůtku</t>
  </si>
  <si>
    <t>- vybourané základy: 0,9 m3 x 2,2 t/m3 = 2 t 
- demontovaný plůtek: 0,005 t x 51 m = 0,25 t 
- sloupky: 0,1 t/ 1 ks x 14 ks = 1,4 t</t>
  </si>
  <si>
    <t>Renovace zábradlí podél řeky</t>
  </si>
  <si>
    <t>711</t>
  </si>
  <si>
    <t>Izolace proti vodě</t>
  </si>
  <si>
    <t>711212111R</t>
  </si>
  <si>
    <t>Nátěr stávajícího zábradlí podél řeky, vč. materiálu ( 97m x 1,5m)</t>
  </si>
  <si>
    <t>711_</t>
  </si>
  <si>
    <t>03_71_</t>
  </si>
  <si>
    <t>784</t>
  </si>
  <si>
    <t>Malby</t>
  </si>
  <si>
    <t>7844018031R</t>
  </si>
  <si>
    <t>Odstranění vrchní vrstvy obroušením</t>
  </si>
  <si>
    <t>784_</t>
  </si>
  <si>
    <t>03_78_</t>
  </si>
  <si>
    <t>Mobiliář</t>
  </si>
  <si>
    <t>74910387R</t>
  </si>
  <si>
    <t>Lavička litinová parková s opěradlem a područkami; vč. dodávky a instalace</t>
  </si>
  <si>
    <t>Konstrukce lavičky je vyrobena z šedé litiny, dřevěná prkna sedáku a opěradla lavičky jsou z kvalitního dřeva - smrkové, litinová konstrukce je práškově lakována. úprava latí je provedena 1x penetrací a 3x lazurou, barva lomeně bílá RAL 9001 
Kotvení do betonového základu pomocí závitových tyčí podle podkladů výrobce - na dvou místech. Hmotnost 45 kg.</t>
  </si>
  <si>
    <t>043027R</t>
  </si>
  <si>
    <t>Odpadkový koš obdélníkového půdorysu se stříškou, objem nádoby 120 l, vč. dodávky a instalace</t>
  </si>
  <si>
    <t>Ocelová konstrukce, dvířka z HPL desek, spojovací materiál nerez. Povchová úprava - ocelová konstrukce je opatřena ochranou vrstvou zinku a práškovým vypalovacím lakem. Nosná konstrukce je svařenec z ohýbaných výpalků u ocelového plechu. Dvířka HPL deska přilepená na ocelovou konstrukci, zavěšenou na pantech. Zadní stěna HPL deska přilepená na ocelovou konstrukci, pevně připojené k nosné kostře. Vnitřní nádoba lehká ocelová konstrukce, pro uchycení plastového pytle 120 l.  Hmotnost 69 kg. Kotvení do betonového základu pomocí závitových tyčí.</t>
  </si>
  <si>
    <t>7491045R</t>
  </si>
  <si>
    <t>Stojan na kola vč. dodávky a montáže</t>
  </si>
  <si>
    <t>Ocelová konstrukce z L-profilu. Povrchová úprava opatřena ochrannou vrstvou zinku a práškovým vypalovacím lakem. Tělo svěřenec z ocelového L-profilu 60x60x6 mm a plechových výpalků tloušťky 10 mm, celková výška 1100mm, délka 600 mm. Kotvení do betonovéhozákladu pomocí závitových tyčí. Hmotnost 16 kg.</t>
  </si>
  <si>
    <t>043032RVD</t>
  </si>
  <si>
    <t>Velký informační panel, vč. dodávky a instalace</t>
  </si>
  <si>
    <t>Informační tabule s mapou důležitých orientačních uzlů nebo jiné potřebné informace dle investora. Materiálové řešení ocelový plech, digitální smalt. plech pozink + komaxit RAL 5026. Kotvení do betonové patky chemickou kotvou.</t>
  </si>
  <si>
    <t>Taburet; vč. dodávky a instalace</t>
  </si>
  <si>
    <t>Ocelová konstrukce ( jeklová), sedací desky modřín. Včetně betonových kotvících patek.
Viz výkres a dopracování dle dílenské dokumentace.</t>
  </si>
  <si>
    <t>Dílenská dokumentace pro zhotovení taburetu</t>
  </si>
  <si>
    <t>36910387R</t>
  </si>
  <si>
    <t>Stolička; vč. dodávky a instalace</t>
  </si>
  <si>
    <t>Jednoduchá ocelová konstrukce z trubky spojená s deskou vysokotlakého laminátu ( HPL deska) pomocí šroubových spojů z nerezu. Povrchová ocelová konstrukce je opatřena ohrannou vrstvou zinku a práškovým lakem. Nosná kostra je konstrukce z ocelové trubky a výpalků z plechu. Sedák HPL deska. Barevnost dle vzorníku RAL 9010 bílá. Kotvení do betonového základu pomocí závitových tyčí. Hmotnost 5 kg.</t>
  </si>
  <si>
    <t>Stůl; vč. dodávky a instalace</t>
  </si>
  <si>
    <t>Jednoduchá ocelová konstrukce z trubky spojená s deskou vysokotlakého laminátu ( HPL deska) pomocí šroubových spojů z nerezu. Povrchová ocelová konstrukce je opatřena ohrannou vrstvou zinku a práškovým lakem. Nosná kostra je konstrukce z ocelové trubky, trubky obdélníkového průřezu a výpalků z plechu. Deska stolu HPL deska. Barevnost dle vzorníku RAL 9010 bílá. Kotvení do betonového základu pomocí závitových tyčí. Hmotnost 9 kg.</t>
  </si>
  <si>
    <t>Zastávka autobusu; vč. dodávky a instalace</t>
  </si>
  <si>
    <t>Zastávkový přístřešek s vegetační rovnou střechou - ocelová konstrukce se skleněnými výplněmi v zadní a bočních stěnách a střechou s extenzivní vegetační vrstvou je na místě instalace smontována pomocí šroubových spojů z nerezavějící oceli. Povrchová úprava ocelové konstrukce je opatřena ochrannou vrstvou zinku a práškovým vypalovacím lakem. Nosný rám jsou nosné sloupy a podélné žlaby tvořící svařovanou ocelovou konstrukci profilů obdélníkového profilu a ocelového plechu. Rám slouží jako nosná konstrukce skleněných výplní zadní stěny a vegetační střechy přístřešku, zajišťuje také odvodnění střechy. Výplň zadní stěny je kalené sklo s bezpečnostním potiskem. Stření krytina je extenzivní vegetační střecha ve vanách z hliníkového plechu, pohled z modřínových lamel. Boční stěny kalené sklo s bezpečnostním potiskem. Odvodnění vedené nosným sloupem s vyústěním nad zpevněný povrch za zadní stěnou přístřešku. V zastávce je integrovaná lavička tvořená sedákem s 5ti lamel z masivního tropického dřeva, opatřena venkovní povrchovou úpravou. Lavička je upevněna v ocelových držácích a má samostatné kotvení pod zpevněných povrch. Kotvení do betonového základu pomocí závitových tyčí. Hmotnost 879 kg ( bez vegetace). Včetně spodních staveb a ukotvení.</t>
  </si>
  <si>
    <t>043060RVD</t>
  </si>
  <si>
    <t>Dílenská dokumentace pro zhotovení zastávky autobusu</t>
  </si>
  <si>
    <t>zbudování základu pro svítidla - položka obsažena v SO01 mlat</t>
  </si>
  <si>
    <t>zemní práce - výkopy pro kabelová vedení - položka obsažena v SO01 mlat</t>
  </si>
  <si>
    <t>013294000</t>
  </si>
  <si>
    <t>Ostatní dokumentace</t>
  </si>
  <si>
    <t>1461492785</t>
  </si>
  <si>
    <t>"vkládání el. dokumentace skutečného provedení do DMVS"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</si>
</sst>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(#,##0\._);;;_(@_)"/>
    <numFmt numFmtId="166" formatCode="_-* #,##0.00&quot; Kč&quot;_-;\-* #,##0.00&quot; Kč&quot;_-;_-* \-??&quot; Kč&quot;_-;_-@_-"/>
    <numFmt numFmtId="167" formatCode="0.0"/>
    <numFmt numFmtId="168" formatCode="#,##0.\-"/>
    <numFmt numFmtId="169" formatCode="_(#,##0.00_);[Red]&quot;- &quot;#,##0.00_);\–??;_(@_)"/>
    <numFmt numFmtId="170" formatCode="_(#,##0_);[Red]&quot;- &quot;#,##0_);\–??;_(@_)"/>
    <numFmt numFmtId="171" formatCode="_(#,##0.0??;&quot;- &quot;#,##0.0??;\–???;_(@_)"/>
    <numFmt numFmtId="172" formatCode="#,##0.0\ &quot;Kč&quot;"/>
    <numFmt numFmtId="173" formatCode="#,##0.00\ &quot;Kč&quot;"/>
    <numFmt numFmtId="174" formatCode="#,##0.00%"/>
    <numFmt numFmtId="175" formatCode="dd\.mm\.yyyy"/>
    <numFmt numFmtId="176" formatCode="#,##0.00000"/>
    <numFmt numFmtId="177" formatCode="#,##0.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indexed="25"/>
      <name val="Arial"/>
      <family val="2"/>
    </font>
    <font>
      <b/>
      <u val="single"/>
      <sz val="14"/>
      <color theme="1"/>
      <name val="Calibri"/>
      <family val="2"/>
      <scheme val="minor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indexed="25"/>
      <name val="Arial"/>
      <family val="2"/>
    </font>
    <font>
      <b/>
      <sz val="11"/>
      <name val="Arial CE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color rgb="FF0070C0"/>
      <name val="Arial"/>
      <family val="2"/>
    </font>
    <font>
      <b/>
      <sz val="9"/>
      <name val="Arial"/>
      <family val="2"/>
    </font>
    <font>
      <sz val="9"/>
      <color theme="4" tint="-0.24997000396251678"/>
      <name val="Arial"/>
      <family val="2"/>
    </font>
    <font>
      <sz val="9"/>
      <color theme="4" tint="-0.24997000396251678"/>
      <name val="Arial CE"/>
      <family val="2"/>
    </font>
    <font>
      <sz val="11"/>
      <color theme="4" tint="-0.24997000396251678"/>
      <name val="Calibri"/>
      <family val="2"/>
      <scheme val="minor"/>
    </font>
    <font>
      <sz val="10"/>
      <color indexed="10"/>
      <name val="Arial"/>
      <family val="2"/>
    </font>
    <font>
      <b/>
      <sz val="16"/>
      <color rgb="FF0070C0"/>
      <name val="ISOCPEUR"/>
      <family val="2"/>
    </font>
    <font>
      <sz val="16"/>
      <color rgb="FF0070C0"/>
      <name val="Calibri"/>
      <family val="2"/>
      <scheme val="minor"/>
    </font>
    <font>
      <sz val="12"/>
      <color theme="1"/>
      <name val="ISOCPEUR"/>
      <family val="2"/>
    </font>
    <font>
      <b/>
      <sz val="12"/>
      <color rgb="FF0070C0"/>
      <name val="ISOCPEUR"/>
      <family val="2"/>
    </font>
    <font>
      <b/>
      <sz val="10"/>
      <color theme="1"/>
      <name val="ISOCPEUR"/>
      <family val="2"/>
    </font>
    <font>
      <b/>
      <sz val="12"/>
      <color theme="1"/>
      <name val="ISOCPEUR"/>
      <family val="2"/>
    </font>
    <font>
      <sz val="7"/>
      <name val="Arial"/>
      <family val="2"/>
    </font>
    <font>
      <sz val="18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A8"/>
      <name val="Arial CE"/>
      <family val="2"/>
    </font>
    <font>
      <i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7"/>
      <name val="Arial CE"/>
      <family val="2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33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/>
    </xf>
    <xf numFmtId="0" fontId="82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</cellStyleXfs>
  <cellXfs count="701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2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20" applyNumberFormat="1" applyFont="1" applyAlignment="1">
      <alignment vertical="center" wrapText="1"/>
    </xf>
    <xf numFmtId="49" fontId="4" fillId="0" borderId="0" xfId="2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7" fillId="0" borderId="0" xfId="0" applyNumberFormat="1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9" fillId="0" borderId="0" xfId="21" applyNumberFormat="1" applyAlignment="1">
      <alignment horizontal="righ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12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9" fillId="0" borderId="0" xfId="21" applyAlignment="1">
      <alignment horizontal="right"/>
      <protection/>
    </xf>
    <xf numFmtId="168" fontId="13" fillId="0" borderId="0" xfId="0" applyNumberFormat="1" applyFont="1" applyAlignment="1">
      <alignment horizontal="right"/>
    </xf>
    <xf numFmtId="49" fontId="14" fillId="0" borderId="2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left" wrapText="1"/>
    </xf>
    <xf numFmtId="2" fontId="14" fillId="0" borderId="2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9" fontId="7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49" fontId="16" fillId="0" borderId="0" xfId="0" applyNumberFormat="1" applyFo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 vertical="center"/>
    </xf>
    <xf numFmtId="165" fontId="17" fillId="0" borderId="3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horizontal="left"/>
    </xf>
    <xf numFmtId="49" fontId="17" fillId="0" borderId="3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71" fontId="17" fillId="0" borderId="3" xfId="0" applyNumberFormat="1" applyFont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 vertical="center" wrapText="1"/>
    </xf>
    <xf numFmtId="170" fontId="0" fillId="0" borderId="0" xfId="0" applyNumberFormat="1"/>
    <xf numFmtId="49" fontId="21" fillId="0" borderId="4" xfId="0" applyNumberFormat="1" applyFont="1" applyBorder="1" applyAlignment="1">
      <alignment horizontal="left" vertical="center" wrapText="1"/>
    </xf>
    <xf numFmtId="165" fontId="18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171" fontId="19" fillId="0" borderId="4" xfId="0" applyNumberFormat="1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 vertical="center"/>
    </xf>
    <xf numFmtId="171" fontId="19" fillId="0" borderId="5" xfId="0" applyNumberFormat="1" applyFont="1" applyBorder="1" applyAlignment="1">
      <alignment horizontal="center" vertical="center"/>
    </xf>
    <xf numFmtId="167" fontId="22" fillId="0" borderId="5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167" fontId="23" fillId="0" borderId="4" xfId="0" applyNumberFormat="1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 vertical="center"/>
    </xf>
    <xf numFmtId="167" fontId="23" fillId="0" borderId="4" xfId="0" applyNumberFormat="1" applyFont="1" applyBorder="1" applyAlignment="1">
      <alignment horizontal="center" vertical="center" wrapText="1"/>
    </xf>
    <xf numFmtId="0" fontId="25" fillId="0" borderId="0" xfId="0" applyFont="1"/>
    <xf numFmtId="2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right" vertical="center"/>
    </xf>
    <xf numFmtId="167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172" fontId="2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167" fontId="0" fillId="0" borderId="0" xfId="0" applyNumberFormat="1" applyAlignment="1">
      <alignment horizontal="center"/>
    </xf>
    <xf numFmtId="0" fontId="29" fillId="0" borderId="0" xfId="0" applyFont="1"/>
    <xf numFmtId="0" fontId="30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2" fillId="3" borderId="10" xfId="0" applyFont="1" applyFill="1" applyBorder="1"/>
    <xf numFmtId="0" fontId="29" fillId="3" borderId="11" xfId="0" applyFont="1" applyFill="1" applyBorder="1" applyAlignment="1">
      <alignment horizontal="center"/>
    </xf>
    <xf numFmtId="0" fontId="29" fillId="3" borderId="11" xfId="0" applyFont="1" applyFill="1" applyBorder="1"/>
    <xf numFmtId="173" fontId="32" fillId="3" borderId="12" xfId="0" applyNumberFormat="1" applyFont="1" applyFill="1" applyBorder="1"/>
    <xf numFmtId="0" fontId="0" fillId="0" borderId="13" xfId="0" applyBorder="1"/>
    <xf numFmtId="0" fontId="29" fillId="0" borderId="11" xfId="0" applyFont="1" applyBorder="1" applyAlignment="1">
      <alignment horizontal="center"/>
    </xf>
    <xf numFmtId="4" fontId="29" fillId="0" borderId="11" xfId="0" applyNumberFormat="1" applyFont="1" applyBorder="1"/>
    <xf numFmtId="173" fontId="29" fillId="0" borderId="12" xfId="0" applyNumberFormat="1" applyFont="1" applyBorder="1"/>
    <xf numFmtId="0" fontId="0" fillId="0" borderId="13" xfId="0" applyBorder="1" applyAlignment="1">
      <alignment wrapText="1"/>
    </xf>
    <xf numFmtId="0" fontId="32" fillId="0" borderId="0" xfId="0" applyFont="1"/>
    <xf numFmtId="0" fontId="29" fillId="0" borderId="10" xfId="0" applyFont="1" applyBorder="1"/>
    <xf numFmtId="4" fontId="29" fillId="3" borderId="11" xfId="0" applyNumberFormat="1" applyFont="1" applyFill="1" applyBorder="1"/>
    <xf numFmtId="0" fontId="29" fillId="4" borderId="10" xfId="0" applyFont="1" applyFill="1" applyBorder="1"/>
    <xf numFmtId="0" fontId="29" fillId="4" borderId="11" xfId="0" applyFont="1" applyFill="1" applyBorder="1" applyAlignment="1">
      <alignment horizontal="center"/>
    </xf>
    <xf numFmtId="4" fontId="29" fillId="4" borderId="11" xfId="0" applyNumberFormat="1" applyFont="1" applyFill="1" applyBorder="1"/>
    <xf numFmtId="173" fontId="29" fillId="4" borderId="12" xfId="0" applyNumberFormat="1" applyFont="1" applyFill="1" applyBorder="1"/>
    <xf numFmtId="0" fontId="29" fillId="0" borderId="10" xfId="0" applyFont="1" applyBorder="1" applyAlignment="1">
      <alignment wrapText="1"/>
    </xf>
    <xf numFmtId="0" fontId="32" fillId="3" borderId="11" xfId="0" applyFont="1" applyFill="1" applyBorder="1" applyAlignment="1">
      <alignment horizontal="center"/>
    </xf>
    <xf numFmtId="0" fontId="32" fillId="3" borderId="11" xfId="0" applyFont="1" applyFill="1" applyBorder="1"/>
    <xf numFmtId="0" fontId="29" fillId="0" borderId="14" xfId="0" applyFont="1" applyBorder="1"/>
    <xf numFmtId="0" fontId="29" fillId="0" borderId="15" xfId="0" applyFont="1" applyBorder="1" applyAlignment="1">
      <alignment horizontal="center"/>
    </xf>
    <xf numFmtId="0" fontId="29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9" fillId="0" borderId="18" xfId="0" applyFont="1" applyBorder="1" applyAlignment="1">
      <alignment horizontal="center"/>
    </xf>
    <xf numFmtId="0" fontId="29" fillId="0" borderId="18" xfId="0" applyFont="1" applyBorder="1"/>
    <xf numFmtId="0" fontId="29" fillId="0" borderId="19" xfId="0" applyFont="1" applyBorder="1"/>
    <xf numFmtId="0" fontId="29" fillId="0" borderId="11" xfId="0" applyFont="1" applyBorder="1"/>
    <xf numFmtId="0" fontId="29" fillId="0" borderId="12" xfId="0" applyFont="1" applyBorder="1"/>
    <xf numFmtId="0" fontId="29" fillId="0" borderId="11" xfId="0" applyFont="1" applyBorder="1" applyAlignment="1">
      <alignment horizontal="right" indent="1"/>
    </xf>
    <xf numFmtId="0" fontId="29" fillId="0" borderId="20" xfId="0" applyFont="1" applyBorder="1"/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right" indent="1"/>
    </xf>
    <xf numFmtId="0" fontId="29" fillId="0" borderId="21" xfId="0" applyFont="1" applyBorder="1"/>
    <xf numFmtId="0" fontId="29" fillId="0" borderId="22" xfId="0" applyFont="1" applyBorder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5" fillId="0" borderId="0" xfId="23" applyNumberFormat="1" applyFont="1" applyFill="1" applyBorder="1" applyAlignment="1" applyProtection="1">
      <alignment/>
      <protection/>
    </xf>
    <xf numFmtId="0" fontId="36" fillId="0" borderId="23" xfId="23" applyNumberFormat="1" applyFont="1" applyFill="1" applyBorder="1" applyAlignment="1" applyProtection="1">
      <alignment horizontal="left" vertical="center"/>
      <protection/>
    </xf>
    <xf numFmtId="0" fontId="36" fillId="0" borderId="0" xfId="23" applyNumberFormat="1" applyFont="1" applyFill="1" applyBorder="1" applyAlignment="1" applyProtection="1">
      <alignment horizontal="left" vertical="center"/>
      <protection/>
    </xf>
    <xf numFmtId="0" fontId="39" fillId="5" borderId="24" xfId="23" applyNumberFormat="1" applyFont="1" applyFill="1" applyBorder="1" applyAlignment="1" applyProtection="1">
      <alignment horizontal="center" vertical="center"/>
      <protection/>
    </xf>
    <xf numFmtId="0" fontId="39" fillId="5" borderId="25" xfId="23" applyNumberFormat="1" applyFont="1" applyFill="1" applyBorder="1" applyAlignment="1" applyProtection="1">
      <alignment horizontal="center" vertical="center"/>
      <protection/>
    </xf>
    <xf numFmtId="0" fontId="41" fillId="0" borderId="26" xfId="23" applyNumberFormat="1" applyFont="1" applyFill="1" applyBorder="1" applyAlignment="1" applyProtection="1">
      <alignment horizontal="left" vertical="center"/>
      <protection/>
    </xf>
    <xf numFmtId="0" fontId="42" fillId="0" borderId="27" xfId="23" applyNumberFormat="1" applyFont="1" applyFill="1" applyBorder="1" applyAlignment="1" applyProtection="1">
      <alignment horizontal="left" vertical="center"/>
      <protection/>
    </xf>
    <xf numFmtId="4" fontId="42" fillId="0" borderId="27" xfId="23" applyNumberFormat="1" applyFont="1" applyFill="1" applyBorder="1" applyAlignment="1" applyProtection="1">
      <alignment horizontal="right" vertical="center"/>
      <protection/>
    </xf>
    <xf numFmtId="0" fontId="42" fillId="0" borderId="27" xfId="23" applyNumberFormat="1" applyFont="1" applyFill="1" applyBorder="1" applyAlignment="1" applyProtection="1">
      <alignment horizontal="right" vertical="center"/>
      <protection/>
    </xf>
    <xf numFmtId="0" fontId="41" fillId="0" borderId="28" xfId="23" applyNumberFormat="1" applyFont="1" applyFill="1" applyBorder="1" applyAlignment="1" applyProtection="1">
      <alignment horizontal="left" vertical="center"/>
      <protection/>
    </xf>
    <xf numFmtId="4" fontId="42" fillId="0" borderId="29" xfId="23" applyNumberFormat="1" applyFont="1" applyFill="1" applyBorder="1" applyAlignment="1" applyProtection="1">
      <alignment horizontal="right" vertical="center"/>
      <protection/>
    </xf>
    <xf numFmtId="0" fontId="42" fillId="0" borderId="29" xfId="23" applyNumberFormat="1" applyFont="1" applyFill="1" applyBorder="1" applyAlignment="1" applyProtection="1">
      <alignment horizontal="right" vertical="center"/>
      <protection/>
    </xf>
    <xf numFmtId="4" fontId="42" fillId="0" borderId="25" xfId="23" applyNumberFormat="1" applyFont="1" applyFill="1" applyBorder="1" applyAlignment="1" applyProtection="1">
      <alignment horizontal="right" vertical="center"/>
      <protection/>
    </xf>
    <xf numFmtId="4" fontId="42" fillId="0" borderId="30" xfId="23" applyNumberFormat="1" applyFont="1" applyFill="1" applyBorder="1" applyAlignment="1" applyProtection="1">
      <alignment horizontal="right" vertical="center"/>
      <protection/>
    </xf>
    <xf numFmtId="4" fontId="41" fillId="5" borderId="25" xfId="23" applyNumberFormat="1" applyFont="1" applyFill="1" applyBorder="1" applyAlignment="1" applyProtection="1">
      <alignment horizontal="right" vertical="center"/>
      <protection/>
    </xf>
    <xf numFmtId="4" fontId="41" fillId="5" borderId="27" xfId="23" applyNumberFormat="1" applyFont="1" applyFill="1" applyBorder="1" applyAlignment="1" applyProtection="1">
      <alignment horizontal="right" vertical="center"/>
      <protection/>
    </xf>
    <xf numFmtId="0" fontId="43" fillId="0" borderId="0" xfId="23" applyNumberFormat="1" applyFont="1" applyFill="1" applyBorder="1" applyAlignment="1" applyProtection="1">
      <alignment horizontal="left" vertical="center"/>
      <protection/>
    </xf>
    <xf numFmtId="4" fontId="37" fillId="5" borderId="0" xfId="23" applyNumberFormat="1" applyFont="1" applyFill="1" applyBorder="1" applyAlignment="1" applyProtection="1">
      <alignment horizontal="right" vertical="center"/>
      <protection/>
    </xf>
    <xf numFmtId="0" fontId="37" fillId="0" borderId="31" xfId="23" applyNumberFormat="1" applyFont="1" applyFill="1" applyBorder="1" applyAlignment="1" applyProtection="1">
      <alignment horizontal="left" vertical="center"/>
      <protection/>
    </xf>
    <xf numFmtId="0" fontId="37" fillId="0" borderId="32" xfId="23" applyNumberFormat="1" applyFont="1" applyFill="1" applyBorder="1" applyAlignment="1" applyProtection="1">
      <alignment horizontal="left" vertical="center"/>
      <protection/>
    </xf>
    <xf numFmtId="0" fontId="37" fillId="0" borderId="32" xfId="23" applyNumberFormat="1" applyFont="1" applyFill="1" applyBorder="1" applyAlignment="1" applyProtection="1">
      <alignment horizontal="center" vertical="center"/>
      <protection/>
    </xf>
    <xf numFmtId="0" fontId="37" fillId="0" borderId="33" xfId="23" applyNumberFormat="1" applyFont="1" applyFill="1" applyBorder="1" applyAlignment="1" applyProtection="1">
      <alignment horizontal="center" vertical="center"/>
      <protection/>
    </xf>
    <xf numFmtId="0" fontId="37" fillId="5" borderId="0" xfId="23" applyNumberFormat="1" applyFont="1" applyFill="1" applyBorder="1" applyAlignment="1" applyProtection="1">
      <alignment horizontal="right" vertical="center"/>
      <protection/>
    </xf>
    <xf numFmtId="0" fontId="37" fillId="0" borderId="0" xfId="23" applyNumberFormat="1" applyFont="1" applyFill="1" applyBorder="1" applyAlignment="1" applyProtection="1">
      <alignment horizontal="right" vertical="center"/>
      <protection/>
    </xf>
    <xf numFmtId="0" fontId="36" fillId="0" borderId="34" xfId="23" applyNumberFormat="1" applyFont="1" applyFill="1" applyBorder="1" applyAlignment="1" applyProtection="1">
      <alignment horizontal="left" vertical="center"/>
      <protection/>
    </xf>
    <xf numFmtId="0" fontId="36" fillId="0" borderId="30" xfId="23" applyNumberFormat="1" applyFont="1" applyFill="1" applyBorder="1" applyAlignment="1" applyProtection="1">
      <alignment horizontal="left" vertical="center"/>
      <protection/>
    </xf>
    <xf numFmtId="0" fontId="37" fillId="0" borderId="35" xfId="23" applyNumberFormat="1" applyFont="1" applyFill="1" applyBorder="1" applyAlignment="1" applyProtection="1">
      <alignment horizontal="center" vertical="center"/>
      <protection/>
    </xf>
    <xf numFmtId="0" fontId="37" fillId="0" borderId="36" xfId="23" applyNumberFormat="1" applyFont="1" applyFill="1" applyBorder="1" applyAlignment="1" applyProtection="1">
      <alignment horizontal="center" vertical="center"/>
      <protection/>
    </xf>
    <xf numFmtId="0" fontId="37" fillId="0" borderId="30" xfId="23" applyNumberFormat="1" applyFont="1" applyFill="1" applyBorder="1" applyAlignment="1" applyProtection="1">
      <alignment horizontal="center" vertical="center"/>
      <protection/>
    </xf>
    <xf numFmtId="0" fontId="37" fillId="0" borderId="37" xfId="23" applyNumberFormat="1" applyFont="1" applyFill="1" applyBorder="1" applyAlignment="1" applyProtection="1">
      <alignment horizontal="center" vertical="center"/>
      <protection/>
    </xf>
    <xf numFmtId="0" fontId="36" fillId="6" borderId="23" xfId="23" applyNumberFormat="1" applyFont="1" applyFill="1" applyBorder="1" applyAlignment="1" applyProtection="1">
      <alignment horizontal="left" vertical="center"/>
      <protection/>
    </xf>
    <xf numFmtId="0" fontId="37" fillId="6" borderId="0" xfId="23" applyNumberFormat="1" applyFont="1" applyFill="1" applyBorder="1" applyAlignment="1" applyProtection="1">
      <alignment horizontal="left" vertical="center"/>
      <protection/>
    </xf>
    <xf numFmtId="0" fontId="36" fillId="6" borderId="0" xfId="23" applyNumberFormat="1" applyFont="1" applyFill="1" applyBorder="1" applyAlignment="1" applyProtection="1">
      <alignment horizontal="left" vertical="center"/>
      <protection/>
    </xf>
    <xf numFmtId="4" fontId="37" fillId="6" borderId="0" xfId="23" applyNumberFormat="1" applyFont="1" applyFill="1" applyBorder="1" applyAlignment="1" applyProtection="1">
      <alignment horizontal="right" vertical="center"/>
      <protection/>
    </xf>
    <xf numFmtId="0" fontId="37" fillId="6" borderId="29" xfId="23" applyNumberFormat="1" applyFont="1" applyFill="1" applyBorder="1" applyAlignment="1" applyProtection="1">
      <alignment horizontal="right" vertical="center"/>
      <protection/>
    </xf>
    <xf numFmtId="0" fontId="36" fillId="5" borderId="23" xfId="23" applyNumberFormat="1" applyFont="1" applyFill="1" applyBorder="1" applyAlignment="1" applyProtection="1">
      <alignment horizontal="left" vertical="center"/>
      <protection/>
    </xf>
    <xf numFmtId="0" fontId="37" fillId="5" borderId="0" xfId="23" applyNumberFormat="1" applyFont="1" applyFill="1" applyBorder="1" applyAlignment="1" applyProtection="1">
      <alignment horizontal="left" vertical="center"/>
      <protection/>
    </xf>
    <xf numFmtId="0" fontId="36" fillId="5" borderId="0" xfId="23" applyNumberFormat="1" applyFont="1" applyFill="1" applyBorder="1" applyAlignment="1" applyProtection="1">
      <alignment horizontal="left" vertical="center"/>
      <protection/>
    </xf>
    <xf numFmtId="0" fontId="37" fillId="5" borderId="29" xfId="23" applyNumberFormat="1" applyFont="1" applyFill="1" applyBorder="1" applyAlignment="1" applyProtection="1">
      <alignment horizontal="right" vertical="center"/>
      <protection/>
    </xf>
    <xf numFmtId="4" fontId="36" fillId="0" borderId="0" xfId="23" applyNumberFormat="1" applyFont="1" applyFill="1" applyBorder="1" applyAlignment="1" applyProtection="1">
      <alignment horizontal="right" vertical="center"/>
      <protection/>
    </xf>
    <xf numFmtId="0" fontId="36" fillId="0" borderId="29" xfId="23" applyNumberFormat="1" applyFont="1" applyFill="1" applyBorder="1" applyAlignment="1" applyProtection="1">
      <alignment horizontal="right" vertical="center"/>
      <protection/>
    </xf>
    <xf numFmtId="0" fontId="36" fillId="0" borderId="0" xfId="23" applyNumberFormat="1" applyFont="1" applyFill="1" applyBorder="1" applyAlignment="1" applyProtection="1">
      <alignment horizontal="right" vertical="center"/>
      <protection/>
    </xf>
    <xf numFmtId="0" fontId="35" fillId="0" borderId="23" xfId="23" applyNumberFormat="1" applyFont="1" applyFill="1" applyBorder="1" applyAlignment="1" applyProtection="1">
      <alignment/>
      <protection/>
    </xf>
    <xf numFmtId="0" fontId="44" fillId="0" borderId="0" xfId="23" applyNumberFormat="1" applyFont="1" applyFill="1" applyBorder="1" applyAlignment="1" applyProtection="1">
      <alignment horizontal="right" vertical="center"/>
      <protection/>
    </xf>
    <xf numFmtId="0" fontId="35" fillId="0" borderId="38" xfId="23" applyNumberFormat="1" applyFont="1" applyFill="1" applyBorder="1" applyAlignment="1" applyProtection="1">
      <alignment/>
      <protection/>
    </xf>
    <xf numFmtId="0" fontId="44" fillId="0" borderId="39" xfId="23" applyNumberFormat="1" applyFont="1" applyFill="1" applyBorder="1" applyAlignment="1" applyProtection="1">
      <alignment horizontal="right" vertical="center"/>
      <protection/>
    </xf>
    <xf numFmtId="4" fontId="37" fillId="0" borderId="0" xfId="23" applyNumberFormat="1" applyFont="1" applyFill="1" applyBorder="1" applyAlignment="1" applyProtection="1">
      <alignment horizontal="right" vertical="center"/>
      <protection/>
    </xf>
    <xf numFmtId="0" fontId="47" fillId="0" borderId="0" xfId="24" applyFont="1" applyAlignment="1">
      <alignment horizontal="left" vertical="center"/>
      <protection/>
    </xf>
    <xf numFmtId="0" fontId="46" fillId="0" borderId="0" xfId="24">
      <alignment/>
      <protection/>
    </xf>
    <xf numFmtId="0" fontId="46" fillId="0" borderId="0" xfId="24" applyAlignment="1">
      <alignment horizontal="left" vertical="center"/>
      <protection/>
    </xf>
    <xf numFmtId="0" fontId="46" fillId="0" borderId="40" xfId="24" applyBorder="1">
      <alignment/>
      <protection/>
    </xf>
    <xf numFmtId="0" fontId="46" fillId="0" borderId="41" xfId="24" applyBorder="1">
      <alignment/>
      <protection/>
    </xf>
    <xf numFmtId="0" fontId="46" fillId="0" borderId="23" xfId="24" applyBorder="1">
      <alignment/>
      <protection/>
    </xf>
    <xf numFmtId="0" fontId="48" fillId="0" borderId="0" xfId="24" applyFont="1" applyAlignment="1">
      <alignment horizontal="left" vertical="center"/>
      <protection/>
    </xf>
    <xf numFmtId="0" fontId="49" fillId="0" borderId="0" xfId="24" applyFont="1" applyAlignment="1">
      <alignment horizontal="left" vertical="center"/>
      <protection/>
    </xf>
    <xf numFmtId="0" fontId="50" fillId="0" borderId="0" xfId="24" applyFont="1" applyAlignment="1">
      <alignment horizontal="left" vertical="center"/>
      <protection/>
    </xf>
    <xf numFmtId="0" fontId="51" fillId="0" borderId="0" xfId="24" applyFont="1" applyAlignment="1">
      <alignment horizontal="left" vertical="top"/>
      <protection/>
    </xf>
    <xf numFmtId="0" fontId="9" fillId="0" borderId="0" xfId="24" applyFont="1" applyAlignment="1">
      <alignment horizontal="left" vertical="center"/>
      <protection/>
    </xf>
    <xf numFmtId="0" fontId="13" fillId="0" borderId="0" xfId="24" applyFont="1" applyAlignment="1">
      <alignment horizontal="left" vertical="top"/>
      <protection/>
    </xf>
    <xf numFmtId="0" fontId="51" fillId="0" borderId="0" xfId="24" applyFont="1" applyAlignment="1">
      <alignment horizontal="left" vertical="center"/>
      <protection/>
    </xf>
    <xf numFmtId="0" fontId="9" fillId="7" borderId="0" xfId="24" applyFont="1" applyFill="1" applyAlignment="1" applyProtection="1">
      <alignment horizontal="left" vertical="center"/>
      <protection locked="0"/>
    </xf>
    <xf numFmtId="49" fontId="9" fillId="7" borderId="0" xfId="24" applyNumberFormat="1" applyFont="1" applyFill="1" applyAlignment="1" applyProtection="1">
      <alignment horizontal="left" vertical="center"/>
      <protection locked="0"/>
    </xf>
    <xf numFmtId="0" fontId="9" fillId="0" borderId="0" xfId="24" applyFont="1" applyAlignment="1">
      <alignment horizontal="left" vertical="center" wrapText="1"/>
      <protection/>
    </xf>
    <xf numFmtId="0" fontId="46" fillId="0" borderId="42" xfId="24" applyBorder="1">
      <alignment/>
      <protection/>
    </xf>
    <xf numFmtId="0" fontId="46" fillId="0" borderId="0" xfId="24" applyAlignment="1">
      <alignment vertical="center"/>
      <protection/>
    </xf>
    <xf numFmtId="0" fontId="46" fillId="0" borderId="23" xfId="24" applyBorder="1" applyAlignment="1">
      <alignment vertical="center"/>
      <protection/>
    </xf>
    <xf numFmtId="0" fontId="53" fillId="0" borderId="43" xfId="24" applyFont="1" applyBorder="1" applyAlignment="1">
      <alignment horizontal="left" vertical="center"/>
      <protection/>
    </xf>
    <xf numFmtId="0" fontId="46" fillId="0" borderId="43" xfId="24" applyBorder="1" applyAlignment="1">
      <alignment vertical="center"/>
      <protection/>
    </xf>
    <xf numFmtId="0" fontId="51" fillId="0" borderId="0" xfId="24" applyFont="1" applyAlignment="1">
      <alignment horizontal="right" vertical="center"/>
      <protection/>
    </xf>
    <xf numFmtId="0" fontId="51" fillId="0" borderId="0" xfId="24" applyFont="1" applyAlignment="1">
      <alignment vertical="center"/>
      <protection/>
    </xf>
    <xf numFmtId="0" fontId="51" fillId="0" borderId="23" xfId="24" applyFont="1" applyBorder="1" applyAlignment="1">
      <alignment vertical="center"/>
      <protection/>
    </xf>
    <xf numFmtId="0" fontId="46" fillId="8" borderId="0" xfId="24" applyFill="1" applyAlignment="1">
      <alignment vertical="center"/>
      <protection/>
    </xf>
    <xf numFmtId="0" fontId="55" fillId="8" borderId="44" xfId="24" applyFont="1" applyFill="1" applyBorder="1" applyAlignment="1">
      <alignment horizontal="left" vertical="center"/>
      <protection/>
    </xf>
    <xf numFmtId="0" fontId="46" fillId="8" borderId="45" xfId="24" applyFill="1" applyBorder="1" applyAlignment="1">
      <alignment vertical="center"/>
      <protection/>
    </xf>
    <xf numFmtId="0" fontId="55" fillId="8" borderId="45" xfId="24" applyFont="1" applyFill="1" applyBorder="1" applyAlignment="1">
      <alignment horizontal="center" vertical="center"/>
      <protection/>
    </xf>
    <xf numFmtId="0" fontId="46" fillId="0" borderId="38" xfId="24" applyBorder="1" applyAlignment="1">
      <alignment vertical="center"/>
      <protection/>
    </xf>
    <xf numFmtId="0" fontId="46" fillId="0" borderId="39" xfId="24" applyBorder="1" applyAlignment="1">
      <alignment vertical="center"/>
      <protection/>
    </xf>
    <xf numFmtId="0" fontId="46" fillId="0" borderId="40" xfId="24" applyBorder="1" applyAlignment="1">
      <alignment vertical="center"/>
      <protection/>
    </xf>
    <xf numFmtId="0" fontId="46" fillId="0" borderId="41" xfId="24" applyBorder="1" applyAlignment="1">
      <alignment vertical="center"/>
      <protection/>
    </xf>
    <xf numFmtId="0" fontId="9" fillId="0" borderId="0" xfId="24" applyFont="1" applyAlignment="1">
      <alignment vertical="center"/>
      <protection/>
    </xf>
    <xf numFmtId="0" fontId="9" fillId="0" borderId="23" xfId="24" applyFont="1" applyBorder="1" applyAlignment="1">
      <alignment vertical="center"/>
      <protection/>
    </xf>
    <xf numFmtId="0" fontId="13" fillId="0" borderId="0" xfId="24" applyFont="1" applyAlignment="1">
      <alignment vertical="center"/>
      <protection/>
    </xf>
    <xf numFmtId="0" fontId="13" fillId="0" borderId="23" xfId="24" applyFont="1" applyBorder="1" applyAlignment="1">
      <alignment vertical="center"/>
      <protection/>
    </xf>
    <xf numFmtId="0" fontId="13" fillId="0" borderId="0" xfId="24" applyFont="1" applyAlignment="1">
      <alignment horizontal="left" vertical="center"/>
      <protection/>
    </xf>
    <xf numFmtId="0" fontId="53" fillId="0" borderId="0" xfId="24" applyFont="1" applyAlignment="1">
      <alignment vertical="center"/>
      <protection/>
    </xf>
    <xf numFmtId="175" fontId="9" fillId="0" borderId="0" xfId="24" applyNumberFormat="1" applyFont="1" applyAlignment="1">
      <alignment horizontal="left" vertical="center"/>
      <protection/>
    </xf>
    <xf numFmtId="0" fontId="46" fillId="0" borderId="46" xfId="24" applyBorder="1" applyAlignment="1">
      <alignment vertical="center"/>
      <protection/>
    </xf>
    <xf numFmtId="0" fontId="46" fillId="0" borderId="47" xfId="24" applyBorder="1" applyAlignment="1">
      <alignment vertical="center"/>
      <protection/>
    </xf>
    <xf numFmtId="0" fontId="57" fillId="0" borderId="0" xfId="24" applyFont="1" applyAlignment="1">
      <alignment horizontal="left" vertical="center"/>
      <protection/>
    </xf>
    <xf numFmtId="0" fontId="46" fillId="0" borderId="48" xfId="24" applyBorder="1" applyAlignment="1">
      <alignment vertical="center"/>
      <protection/>
    </xf>
    <xf numFmtId="0" fontId="46" fillId="9" borderId="45" xfId="24" applyFill="1" applyBorder="1" applyAlignment="1">
      <alignment vertical="center"/>
      <protection/>
    </xf>
    <xf numFmtId="0" fontId="19" fillId="9" borderId="49" xfId="24" applyFont="1" applyFill="1" applyBorder="1" applyAlignment="1">
      <alignment horizontal="center" vertical="center"/>
      <protection/>
    </xf>
    <xf numFmtId="0" fontId="58" fillId="0" borderId="50" xfId="24" applyFont="1" applyBorder="1" applyAlignment="1">
      <alignment horizontal="center" vertical="center" wrapText="1"/>
      <protection/>
    </xf>
    <xf numFmtId="0" fontId="58" fillId="0" borderId="51" xfId="24" applyFont="1" applyBorder="1" applyAlignment="1">
      <alignment horizontal="center" vertical="center" wrapText="1"/>
      <protection/>
    </xf>
    <xf numFmtId="0" fontId="58" fillId="0" borderId="52" xfId="24" applyFont="1" applyBorder="1" applyAlignment="1">
      <alignment horizontal="center" vertical="center" wrapText="1"/>
      <protection/>
    </xf>
    <xf numFmtId="0" fontId="46" fillId="0" borderId="53" xfId="24" applyBorder="1" applyAlignment="1">
      <alignment vertical="center"/>
      <protection/>
    </xf>
    <xf numFmtId="0" fontId="55" fillId="0" borderId="0" xfId="24" applyFont="1" applyAlignment="1">
      <alignment vertical="center"/>
      <protection/>
    </xf>
    <xf numFmtId="0" fontId="55" fillId="0" borderId="23" xfId="24" applyFont="1" applyBorder="1" applyAlignment="1">
      <alignment vertical="center"/>
      <protection/>
    </xf>
    <xf numFmtId="0" fontId="59" fillId="0" borderId="0" xfId="24" applyFont="1" applyAlignment="1">
      <alignment horizontal="left" vertical="center"/>
      <protection/>
    </xf>
    <xf numFmtId="0" fontId="59" fillId="0" borderId="0" xfId="24" applyFont="1" applyAlignment="1">
      <alignment vertical="center"/>
      <protection/>
    </xf>
    <xf numFmtId="4" fontId="59" fillId="0" borderId="0" xfId="24" applyNumberFormat="1" applyFont="1" applyAlignment="1">
      <alignment vertical="center"/>
      <protection/>
    </xf>
    <xf numFmtId="0" fontId="55" fillId="0" borderId="0" xfId="24" applyFont="1" applyAlignment="1">
      <alignment horizontal="center" vertical="center"/>
      <protection/>
    </xf>
    <xf numFmtId="4" fontId="56" fillId="0" borderId="54" xfId="24" applyNumberFormat="1" applyFont="1" applyBorder="1" applyAlignment="1">
      <alignment vertical="center"/>
      <protection/>
    </xf>
    <xf numFmtId="4" fontId="56" fillId="0" borderId="0" xfId="24" applyNumberFormat="1" applyFont="1" applyAlignment="1">
      <alignment vertical="center"/>
      <protection/>
    </xf>
    <xf numFmtId="176" fontId="56" fillId="0" borderId="0" xfId="24" applyNumberFormat="1" applyFont="1" applyAlignment="1">
      <alignment vertical="center"/>
      <protection/>
    </xf>
    <xf numFmtId="4" fontId="56" fillId="0" borderId="48" xfId="24" applyNumberFormat="1" applyFont="1" applyBorder="1" applyAlignment="1">
      <alignment vertical="center"/>
      <protection/>
    </xf>
    <xf numFmtId="0" fontId="55" fillId="0" borderId="0" xfId="24" applyFont="1" applyAlignment="1">
      <alignment horizontal="left" vertical="center"/>
      <protection/>
    </xf>
    <xf numFmtId="0" fontId="60" fillId="0" borderId="0" xfId="24" applyFont="1" applyAlignment="1">
      <alignment horizontal="left" vertical="center"/>
      <protection/>
    </xf>
    <xf numFmtId="0" fontId="61" fillId="0" borderId="0" xfId="24" applyFont="1" applyAlignment="1">
      <alignment vertical="center"/>
      <protection/>
    </xf>
    <xf numFmtId="0" fontId="61" fillId="0" borderId="23" xfId="24" applyFont="1" applyBorder="1" applyAlignment="1">
      <alignment vertical="center"/>
      <protection/>
    </xf>
    <xf numFmtId="0" fontId="62" fillId="0" borderId="0" xfId="24" applyFont="1" applyAlignment="1">
      <alignment vertical="center"/>
      <protection/>
    </xf>
    <xf numFmtId="0" fontId="63" fillId="0" borderId="0" xfId="24" applyFont="1" applyAlignment="1">
      <alignment vertical="center"/>
      <protection/>
    </xf>
    <xf numFmtId="0" fontId="13" fillId="0" borderId="0" xfId="24" applyFont="1" applyAlignment="1">
      <alignment horizontal="center" vertical="center"/>
      <protection/>
    </xf>
    <xf numFmtId="4" fontId="64" fillId="0" borderId="54" xfId="24" applyNumberFormat="1" applyFont="1" applyBorder="1" applyAlignment="1">
      <alignment vertical="center"/>
      <protection/>
    </xf>
    <xf numFmtId="4" fontId="64" fillId="0" borderId="0" xfId="24" applyNumberFormat="1" applyFont="1" applyAlignment="1">
      <alignment vertical="center"/>
      <protection/>
    </xf>
    <xf numFmtId="176" fontId="64" fillId="0" borderId="0" xfId="24" applyNumberFormat="1" applyFont="1" applyAlignment="1">
      <alignment vertical="center"/>
      <protection/>
    </xf>
    <xf numFmtId="4" fontId="64" fillId="0" borderId="48" xfId="24" applyNumberFormat="1" applyFont="1" applyBorder="1" applyAlignment="1">
      <alignment vertical="center"/>
      <protection/>
    </xf>
    <xf numFmtId="0" fontId="61" fillId="0" borderId="0" xfId="24" applyFont="1" applyAlignment="1">
      <alignment horizontal="left" vertical="center"/>
      <protection/>
    </xf>
    <xf numFmtId="0" fontId="65" fillId="0" borderId="0" xfId="24" applyFont="1" applyAlignme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4" fontId="51" fillId="0" borderId="54" xfId="24" applyNumberFormat="1" applyFont="1" applyBorder="1" applyAlignment="1">
      <alignment vertical="center"/>
      <protection/>
    </xf>
    <xf numFmtId="4" fontId="51" fillId="0" borderId="0" xfId="24" applyNumberFormat="1" applyFont="1" applyAlignment="1">
      <alignment vertical="center"/>
      <protection/>
    </xf>
    <xf numFmtId="176" fontId="51" fillId="0" borderId="0" xfId="24" applyNumberFormat="1" applyFont="1" applyAlignment="1">
      <alignment vertical="center"/>
      <protection/>
    </xf>
    <xf numFmtId="4" fontId="51" fillId="0" borderId="48" xfId="24" applyNumberFormat="1" applyFont="1" applyBorder="1" applyAlignment="1">
      <alignment vertical="center"/>
      <protection/>
    </xf>
    <xf numFmtId="4" fontId="51" fillId="0" borderId="55" xfId="24" applyNumberFormat="1" applyFont="1" applyBorder="1" applyAlignment="1">
      <alignment vertical="center"/>
      <protection/>
    </xf>
    <xf numFmtId="4" fontId="51" fillId="0" borderId="56" xfId="24" applyNumberFormat="1" applyFont="1" applyBorder="1" applyAlignment="1">
      <alignment vertical="center"/>
      <protection/>
    </xf>
    <xf numFmtId="176" fontId="51" fillId="0" borderId="56" xfId="24" applyNumberFormat="1" applyFont="1" applyBorder="1" applyAlignment="1">
      <alignment vertical="center"/>
      <protection/>
    </xf>
    <xf numFmtId="4" fontId="51" fillId="0" borderId="57" xfId="24" applyNumberFormat="1" applyFont="1" applyBorder="1" applyAlignment="1">
      <alignment vertical="center"/>
      <protection/>
    </xf>
    <xf numFmtId="0" fontId="67" fillId="0" borderId="0" xfId="24" applyFont="1" applyAlignment="1">
      <alignment horizontal="left" vertical="center"/>
      <protection/>
    </xf>
    <xf numFmtId="0" fontId="46" fillId="0" borderId="0" xfId="24" applyAlignment="1">
      <alignment vertical="center" wrapText="1"/>
      <protection/>
    </xf>
    <xf numFmtId="0" fontId="46" fillId="0" borderId="23" xfId="24" applyBorder="1" applyAlignment="1">
      <alignment vertical="center" wrapText="1"/>
      <protection/>
    </xf>
    <xf numFmtId="0" fontId="53" fillId="0" borderId="0" xfId="24" applyFont="1" applyAlignment="1">
      <alignment horizontal="left" vertical="center"/>
      <protection/>
    </xf>
    <xf numFmtId="174" fontId="51" fillId="0" borderId="0" xfId="24" applyNumberFormat="1" applyFont="1" applyAlignment="1">
      <alignment horizontal="right" vertical="center"/>
      <protection/>
    </xf>
    <xf numFmtId="0" fontId="46" fillId="9" borderId="0" xfId="24" applyFill="1" applyAlignment="1">
      <alignment vertical="center"/>
      <protection/>
    </xf>
    <xf numFmtId="0" fontId="55" fillId="9" borderId="44" xfId="24" applyFont="1" applyFill="1" applyBorder="1" applyAlignment="1">
      <alignment horizontal="left" vertical="center"/>
      <protection/>
    </xf>
    <xf numFmtId="0" fontId="55" fillId="9" borderId="45" xfId="24" applyFont="1" applyFill="1" applyBorder="1" applyAlignment="1">
      <alignment horizontal="right" vertical="center"/>
      <protection/>
    </xf>
    <xf numFmtId="0" fontId="55" fillId="9" borderId="45" xfId="24" applyFont="1" applyFill="1" applyBorder="1" applyAlignment="1">
      <alignment horizontal="center" vertical="center"/>
      <protection/>
    </xf>
    <xf numFmtId="4" fontId="55" fillId="9" borderId="45" xfId="24" applyNumberFormat="1" applyFont="1" applyFill="1" applyBorder="1" applyAlignment="1">
      <alignment vertical="center"/>
      <protection/>
    </xf>
    <xf numFmtId="0" fontId="46" fillId="9" borderId="49" xfId="24" applyFill="1" applyBorder="1" applyAlignment="1">
      <alignment vertical="center"/>
      <protection/>
    </xf>
    <xf numFmtId="0" fontId="19" fillId="9" borderId="0" xfId="24" applyFont="1" applyFill="1" applyAlignment="1">
      <alignment horizontal="left" vertical="center"/>
      <protection/>
    </xf>
    <xf numFmtId="0" fontId="19" fillId="9" borderId="0" xfId="24" applyFont="1" applyFill="1" applyAlignment="1">
      <alignment horizontal="right" vertical="center"/>
      <protection/>
    </xf>
    <xf numFmtId="0" fontId="68" fillId="0" borderId="0" xfId="24" applyFont="1" applyAlignment="1">
      <alignment horizontal="left" vertical="center"/>
      <protection/>
    </xf>
    <xf numFmtId="0" fontId="69" fillId="0" borderId="0" xfId="24" applyFont="1" applyAlignment="1">
      <alignment vertical="center"/>
      <protection/>
    </xf>
    <xf numFmtId="0" fontId="69" fillId="0" borderId="23" xfId="24" applyFont="1" applyBorder="1" applyAlignment="1">
      <alignment vertical="center"/>
      <protection/>
    </xf>
    <xf numFmtId="0" fontId="69" fillId="0" borderId="56" xfId="24" applyFont="1" applyBorder="1" applyAlignment="1">
      <alignment horizontal="left" vertical="center"/>
      <protection/>
    </xf>
    <xf numFmtId="0" fontId="69" fillId="0" borderId="56" xfId="24" applyFont="1" applyBorder="1" applyAlignment="1">
      <alignment vertical="center"/>
      <protection/>
    </xf>
    <xf numFmtId="4" fontId="69" fillId="0" borderId="56" xfId="24" applyNumberFormat="1" applyFont="1" applyBorder="1" applyAlignment="1">
      <alignment vertical="center"/>
      <protection/>
    </xf>
    <xf numFmtId="0" fontId="65" fillId="0" borderId="23" xfId="24" applyFont="1" applyBorder="1" applyAlignment="1">
      <alignment vertical="center"/>
      <protection/>
    </xf>
    <xf numFmtId="0" fontId="65" fillId="0" borderId="56" xfId="24" applyFont="1" applyBorder="1" applyAlignment="1">
      <alignment horizontal="left" vertical="center"/>
      <protection/>
    </xf>
    <xf numFmtId="0" fontId="65" fillId="0" borderId="56" xfId="24" applyFont="1" applyBorder="1" applyAlignment="1">
      <alignment vertical="center"/>
      <protection/>
    </xf>
    <xf numFmtId="4" fontId="65" fillId="0" borderId="56" xfId="24" applyNumberFormat="1" applyFont="1" applyBorder="1" applyAlignment="1">
      <alignment vertical="center"/>
      <protection/>
    </xf>
    <xf numFmtId="0" fontId="46" fillId="0" borderId="0" xfId="24" applyAlignment="1">
      <alignment horizontal="center" vertical="center" wrapText="1"/>
      <protection/>
    </xf>
    <xf numFmtId="0" fontId="46" fillId="0" borderId="23" xfId="24" applyBorder="1" applyAlignment="1">
      <alignment horizontal="center" vertical="center" wrapText="1"/>
      <protection/>
    </xf>
    <xf numFmtId="0" fontId="19" fillId="9" borderId="50" xfId="24" applyFont="1" applyFill="1" applyBorder="1" applyAlignment="1">
      <alignment horizontal="center" vertical="center" wrapText="1"/>
      <protection/>
    </xf>
    <xf numFmtId="0" fontId="19" fillId="9" borderId="51" xfId="24" applyFont="1" applyFill="1" applyBorder="1" applyAlignment="1">
      <alignment horizontal="center" vertical="center" wrapText="1"/>
      <protection/>
    </xf>
    <xf numFmtId="0" fontId="19" fillId="9" borderId="52" xfId="24" applyFont="1" applyFill="1" applyBorder="1" applyAlignment="1">
      <alignment horizontal="center" vertical="center" wrapText="1"/>
      <protection/>
    </xf>
    <xf numFmtId="4" fontId="59" fillId="0" borderId="0" xfId="24" applyNumberFormat="1" applyFont="1">
      <alignment/>
      <protection/>
    </xf>
    <xf numFmtId="176" fontId="70" fillId="0" borderId="46" xfId="24" applyNumberFormat="1" applyFont="1" applyBorder="1">
      <alignment/>
      <protection/>
    </xf>
    <xf numFmtId="176" fontId="70" fillId="0" borderId="47" xfId="24" applyNumberFormat="1" applyFont="1" applyBorder="1">
      <alignment/>
      <protection/>
    </xf>
    <xf numFmtId="4" fontId="71" fillId="0" borderId="0" xfId="24" applyNumberFormat="1" applyFont="1" applyAlignment="1">
      <alignment vertical="center"/>
      <protection/>
    </xf>
    <xf numFmtId="0" fontId="72" fillId="0" borderId="0" xfId="24" applyFont="1">
      <alignment/>
      <protection/>
    </xf>
    <xf numFmtId="0" fontId="72" fillId="0" borderId="23" xfId="24" applyFont="1" applyBorder="1">
      <alignment/>
      <protection/>
    </xf>
    <xf numFmtId="0" fontId="72" fillId="0" borderId="0" xfId="24" applyFont="1" applyAlignment="1">
      <alignment horizontal="left"/>
      <protection/>
    </xf>
    <xf numFmtId="0" fontId="69" fillId="0" borderId="0" xfId="24" applyFont="1" applyAlignment="1">
      <alignment horizontal="left"/>
      <protection/>
    </xf>
    <xf numFmtId="0" fontId="72" fillId="0" borderId="0" xfId="24" applyFont="1" applyProtection="1">
      <alignment/>
      <protection locked="0"/>
    </xf>
    <xf numFmtId="4" fontId="69" fillId="0" borderId="0" xfId="24" applyNumberFormat="1" applyFont="1">
      <alignment/>
      <protection/>
    </xf>
    <xf numFmtId="0" fontId="72" fillId="0" borderId="54" xfId="24" applyFont="1" applyBorder="1">
      <alignment/>
      <protection/>
    </xf>
    <xf numFmtId="176" fontId="72" fillId="0" borderId="0" xfId="24" applyNumberFormat="1" applyFont="1">
      <alignment/>
      <protection/>
    </xf>
    <xf numFmtId="176" fontId="72" fillId="0" borderId="48" xfId="24" applyNumberFormat="1" applyFont="1" applyBorder="1">
      <alignment/>
      <protection/>
    </xf>
    <xf numFmtId="0" fontId="72" fillId="0" borderId="0" xfId="24" applyFont="1" applyAlignment="1">
      <alignment horizontal="center"/>
      <protection/>
    </xf>
    <xf numFmtId="4" fontId="72" fillId="0" borderId="0" xfId="24" applyNumberFormat="1" applyFont="1" applyAlignment="1">
      <alignment vertical="center"/>
      <protection/>
    </xf>
    <xf numFmtId="0" fontId="65" fillId="0" borderId="0" xfId="24" applyFont="1" applyAlignment="1">
      <alignment horizontal="left"/>
      <protection/>
    </xf>
    <xf numFmtId="4" fontId="65" fillId="0" borderId="0" xfId="24" applyNumberFormat="1" applyFont="1">
      <alignment/>
      <protection/>
    </xf>
    <xf numFmtId="0" fontId="19" fillId="0" borderId="58" xfId="24" applyFont="1" applyBorder="1" applyAlignment="1">
      <alignment horizontal="center" vertical="center"/>
      <protection/>
    </xf>
    <xf numFmtId="49" fontId="19" fillId="0" borderId="58" xfId="24" applyNumberFormat="1" applyFont="1" applyBorder="1" applyAlignment="1">
      <alignment horizontal="left" vertical="center" wrapText="1"/>
      <protection/>
    </xf>
    <xf numFmtId="0" fontId="19" fillId="0" borderId="58" xfId="24" applyFont="1" applyBorder="1" applyAlignment="1">
      <alignment horizontal="left" vertical="center" wrapText="1"/>
      <protection/>
    </xf>
    <xf numFmtId="0" fontId="19" fillId="0" borderId="58" xfId="24" applyFont="1" applyBorder="1" applyAlignment="1">
      <alignment horizontal="center" vertical="center" wrapText="1"/>
      <protection/>
    </xf>
    <xf numFmtId="177" fontId="19" fillId="0" borderId="58" xfId="24" applyNumberFormat="1" applyFont="1" applyBorder="1" applyAlignment="1">
      <alignment vertical="center"/>
      <protection/>
    </xf>
    <xf numFmtId="4" fontId="19" fillId="7" borderId="58" xfId="24" applyNumberFormat="1" applyFont="1" applyFill="1" applyBorder="1" applyAlignment="1" applyProtection="1">
      <alignment vertical="center"/>
      <protection locked="0"/>
    </xf>
    <xf numFmtId="4" fontId="19" fillId="0" borderId="58" xfId="24" applyNumberFormat="1" applyFont="1" applyBorder="1" applyAlignment="1">
      <alignment vertical="center"/>
      <protection/>
    </xf>
    <xf numFmtId="0" fontId="58" fillId="7" borderId="54" xfId="24" applyFont="1" applyFill="1" applyBorder="1" applyAlignment="1" applyProtection="1">
      <alignment horizontal="left" vertical="center"/>
      <protection locked="0"/>
    </xf>
    <xf numFmtId="0" fontId="58" fillId="0" borderId="0" xfId="24" applyFont="1" applyAlignment="1">
      <alignment horizontal="center" vertical="center"/>
      <protection/>
    </xf>
    <xf numFmtId="176" fontId="58" fillId="0" borderId="0" xfId="24" applyNumberFormat="1" applyFont="1" applyAlignment="1">
      <alignment vertical="center"/>
      <protection/>
    </xf>
    <xf numFmtId="176" fontId="58" fillId="0" borderId="48" xfId="24" applyNumberFormat="1" applyFont="1" applyBorder="1" applyAlignment="1">
      <alignment vertical="center"/>
      <protection/>
    </xf>
    <xf numFmtId="0" fontId="19" fillId="0" borderId="0" xfId="24" applyFont="1" applyAlignment="1">
      <alignment horizontal="left" vertical="center"/>
      <protection/>
    </xf>
    <xf numFmtId="4" fontId="46" fillId="0" borderId="0" xfId="24" applyNumberFormat="1" applyAlignment="1">
      <alignment vertical="center"/>
      <protection/>
    </xf>
    <xf numFmtId="0" fontId="73" fillId="0" borderId="0" xfId="24" applyFont="1" applyAlignment="1">
      <alignment horizontal="left" vertical="center"/>
      <protection/>
    </xf>
    <xf numFmtId="0" fontId="46" fillId="0" borderId="0" xfId="24" applyAlignment="1" applyProtection="1">
      <alignment vertical="center"/>
      <protection locked="0"/>
    </xf>
    <xf numFmtId="0" fontId="46" fillId="0" borderId="54" xfId="24" applyBorder="1" applyAlignment="1">
      <alignment vertical="center"/>
      <protection/>
    </xf>
    <xf numFmtId="0" fontId="74" fillId="0" borderId="0" xfId="24" applyFont="1" applyAlignment="1">
      <alignment vertical="center"/>
      <protection/>
    </xf>
    <xf numFmtId="0" fontId="74" fillId="0" borderId="23" xfId="24" applyFont="1" applyBorder="1" applyAlignment="1">
      <alignment vertical="center"/>
      <protection/>
    </xf>
    <xf numFmtId="0" fontId="75" fillId="0" borderId="0" xfId="24" applyFont="1" applyAlignment="1">
      <alignment horizontal="left" vertical="center"/>
      <protection/>
    </xf>
    <xf numFmtId="0" fontId="74" fillId="0" borderId="0" xfId="24" applyFont="1" applyAlignment="1">
      <alignment horizontal="left" vertical="center"/>
      <protection/>
    </xf>
    <xf numFmtId="0" fontId="74" fillId="0" borderId="0" xfId="24" applyFont="1" applyAlignment="1">
      <alignment horizontal="left" vertical="center" wrapText="1"/>
      <protection/>
    </xf>
    <xf numFmtId="177" fontId="74" fillId="0" borderId="0" xfId="24" applyNumberFormat="1" applyFont="1" applyAlignment="1">
      <alignment vertical="center"/>
      <protection/>
    </xf>
    <xf numFmtId="0" fontId="74" fillId="0" borderId="0" xfId="24" applyFont="1" applyAlignment="1" applyProtection="1">
      <alignment vertical="center"/>
      <protection locked="0"/>
    </xf>
    <xf numFmtId="0" fontId="74" fillId="0" borderId="54" xfId="24" applyFont="1" applyBorder="1" applyAlignment="1">
      <alignment vertical="center"/>
      <protection/>
    </xf>
    <xf numFmtId="0" fontId="74" fillId="0" borderId="48" xfId="24" applyFont="1" applyBorder="1" applyAlignment="1">
      <alignment vertical="center"/>
      <protection/>
    </xf>
    <xf numFmtId="0" fontId="76" fillId="0" borderId="0" xfId="24" applyFont="1" applyAlignment="1">
      <alignment vertical="center"/>
      <protection/>
    </xf>
    <xf numFmtId="0" fontId="76" fillId="0" borderId="23" xfId="24" applyFont="1" applyBorder="1" applyAlignment="1">
      <alignment vertical="center"/>
      <protection/>
    </xf>
    <xf numFmtId="0" fontId="76" fillId="0" borderId="0" xfId="24" applyFont="1" applyAlignment="1">
      <alignment horizontal="left" vertical="center"/>
      <protection/>
    </xf>
    <xf numFmtId="0" fontId="76" fillId="0" borderId="0" xfId="24" applyFont="1" applyAlignment="1">
      <alignment horizontal="left" vertical="center" wrapText="1"/>
      <protection/>
    </xf>
    <xf numFmtId="177" fontId="76" fillId="0" borderId="0" xfId="24" applyNumberFormat="1" applyFont="1" applyAlignment="1">
      <alignment vertical="center"/>
      <protection/>
    </xf>
    <xf numFmtId="0" fontId="76" fillId="0" borderId="0" xfId="24" applyFont="1" applyAlignment="1" applyProtection="1">
      <alignment vertical="center"/>
      <protection locked="0"/>
    </xf>
    <xf numFmtId="0" fontId="76" fillId="0" borderId="54" xfId="24" applyFont="1" applyBorder="1" applyAlignment="1">
      <alignment vertical="center"/>
      <protection/>
    </xf>
    <xf numFmtId="0" fontId="76" fillId="0" borderId="48" xfId="24" applyFont="1" applyBorder="1" applyAlignment="1">
      <alignment vertical="center"/>
      <protection/>
    </xf>
    <xf numFmtId="0" fontId="77" fillId="0" borderId="0" xfId="24" applyFont="1" applyAlignment="1">
      <alignment vertical="center"/>
      <protection/>
    </xf>
    <xf numFmtId="0" fontId="77" fillId="0" borderId="23" xfId="24" applyFont="1" applyBorder="1" applyAlignment="1">
      <alignment vertical="center"/>
      <protection/>
    </xf>
    <xf numFmtId="0" fontId="77" fillId="0" borderId="0" xfId="24" applyFont="1" applyAlignment="1">
      <alignment horizontal="left" vertical="center"/>
      <protection/>
    </xf>
    <xf numFmtId="0" fontId="77" fillId="0" borderId="0" xfId="24" applyFont="1" applyAlignment="1">
      <alignment horizontal="left" vertical="center" wrapText="1"/>
      <protection/>
    </xf>
    <xf numFmtId="0" fontId="77" fillId="0" borderId="0" xfId="24" applyFont="1" applyAlignment="1" applyProtection="1">
      <alignment vertical="center"/>
      <protection locked="0"/>
    </xf>
    <xf numFmtId="0" fontId="77" fillId="0" borderId="54" xfId="24" applyFont="1" applyBorder="1" applyAlignment="1">
      <alignment vertical="center"/>
      <protection/>
    </xf>
    <xf numFmtId="0" fontId="77" fillId="0" borderId="48" xfId="24" applyFont="1" applyBorder="1" applyAlignment="1">
      <alignment vertical="center"/>
      <protection/>
    </xf>
    <xf numFmtId="0" fontId="78" fillId="0" borderId="58" xfId="24" applyFont="1" applyBorder="1" applyAlignment="1">
      <alignment horizontal="center" vertical="center"/>
      <protection/>
    </xf>
    <xf numFmtId="49" fontId="78" fillId="0" borderId="58" xfId="24" applyNumberFormat="1" applyFont="1" applyBorder="1" applyAlignment="1">
      <alignment horizontal="left" vertical="center" wrapText="1"/>
      <protection/>
    </xf>
    <xf numFmtId="0" fontId="78" fillId="0" borderId="58" xfId="24" applyFont="1" applyBorder="1" applyAlignment="1">
      <alignment horizontal="left" vertical="center" wrapText="1"/>
      <protection/>
    </xf>
    <xf numFmtId="0" fontId="78" fillId="0" borderId="58" xfId="24" applyFont="1" applyBorder="1" applyAlignment="1">
      <alignment horizontal="center" vertical="center" wrapText="1"/>
      <protection/>
    </xf>
    <xf numFmtId="177" fontId="78" fillId="0" borderId="58" xfId="24" applyNumberFormat="1" applyFont="1" applyBorder="1" applyAlignment="1">
      <alignment vertical="center"/>
      <protection/>
    </xf>
    <xf numFmtId="4" fontId="78" fillId="7" borderId="58" xfId="24" applyNumberFormat="1" applyFont="1" applyFill="1" applyBorder="1" applyAlignment="1" applyProtection="1">
      <alignment vertical="center"/>
      <protection locked="0"/>
    </xf>
    <xf numFmtId="4" fontId="78" fillId="0" borderId="58" xfId="24" applyNumberFormat="1" applyFont="1" applyBorder="1" applyAlignment="1">
      <alignment vertical="center"/>
      <protection/>
    </xf>
    <xf numFmtId="0" fontId="79" fillId="0" borderId="23" xfId="24" applyFont="1" applyBorder="1" applyAlignment="1">
      <alignment vertical="center"/>
      <protection/>
    </xf>
    <xf numFmtId="0" fontId="78" fillId="7" borderId="54" xfId="24" applyFont="1" applyFill="1" applyBorder="1" applyAlignment="1" applyProtection="1">
      <alignment horizontal="left" vertical="center"/>
      <protection locked="0"/>
    </xf>
    <xf numFmtId="0" fontId="78" fillId="0" borderId="0" xfId="24" applyFont="1" applyAlignment="1">
      <alignment horizontal="center" vertical="center"/>
      <protection/>
    </xf>
    <xf numFmtId="0" fontId="80" fillId="0" borderId="0" xfId="24" applyFont="1" applyAlignment="1">
      <alignment vertical="center"/>
      <protection/>
    </xf>
    <xf numFmtId="0" fontId="80" fillId="0" borderId="23" xfId="24" applyFont="1" applyBorder="1" applyAlignment="1">
      <alignment vertical="center"/>
      <protection/>
    </xf>
    <xf numFmtId="0" fontId="80" fillId="0" borderId="0" xfId="24" applyFont="1" applyAlignment="1">
      <alignment horizontal="left" vertical="center"/>
      <protection/>
    </xf>
    <xf numFmtId="0" fontId="80" fillId="0" borderId="0" xfId="24" applyFont="1" applyAlignment="1">
      <alignment horizontal="left" vertical="center" wrapText="1"/>
      <protection/>
    </xf>
    <xf numFmtId="177" fontId="80" fillId="0" borderId="0" xfId="24" applyNumberFormat="1" applyFont="1" applyAlignment="1">
      <alignment vertical="center"/>
      <protection/>
    </xf>
    <xf numFmtId="0" fontId="80" fillId="0" borderId="0" xfId="24" applyFont="1" applyAlignment="1" applyProtection="1">
      <alignment vertical="center"/>
      <protection locked="0"/>
    </xf>
    <xf numFmtId="0" fontId="80" fillId="0" borderId="54" xfId="24" applyFont="1" applyBorder="1" applyAlignment="1">
      <alignment vertical="center"/>
      <protection/>
    </xf>
    <xf numFmtId="0" fontId="80" fillId="0" borderId="48" xfId="24" applyFont="1" applyBorder="1" applyAlignment="1">
      <alignment vertical="center"/>
      <protection/>
    </xf>
    <xf numFmtId="0" fontId="46" fillId="0" borderId="55" xfId="24" applyBorder="1" applyAlignment="1">
      <alignment vertical="center"/>
      <protection/>
    </xf>
    <xf numFmtId="0" fontId="46" fillId="0" borderId="56" xfId="24" applyBorder="1" applyAlignment="1">
      <alignment vertical="center"/>
      <protection/>
    </xf>
    <xf numFmtId="0" fontId="46" fillId="0" borderId="57" xfId="24" applyBorder="1" applyAlignment="1">
      <alignment vertical="center"/>
      <protection/>
    </xf>
    <xf numFmtId="0" fontId="46" fillId="0" borderId="0" xfId="24" applyAlignment="1">
      <alignment horizontal="center" vertical="center"/>
      <protection/>
    </xf>
    <xf numFmtId="0" fontId="46" fillId="0" borderId="0" xfId="24" applyFont="1" applyAlignment="1">
      <alignment horizontal="left" vertical="center" wrapText="1"/>
      <protection/>
    </xf>
    <xf numFmtId="0" fontId="46" fillId="0" borderId="0" xfId="24" applyFont="1" applyAlignment="1">
      <alignment vertical="center" wrapText="1"/>
      <protection/>
    </xf>
    <xf numFmtId="0" fontId="46" fillId="0" borderId="0" xfId="24" applyFont="1" applyAlignment="1">
      <alignment horizontal="left" vertical="center"/>
      <protection/>
    </xf>
    <xf numFmtId="0" fontId="46" fillId="0" borderId="0" xfId="24" applyFont="1" applyAlignment="1">
      <alignment vertical="center"/>
      <protection/>
    </xf>
    <xf numFmtId="49" fontId="46" fillId="0" borderId="0" xfId="24" applyNumberFormat="1" applyFont="1" applyAlignment="1">
      <alignment vertical="center" wrapText="1"/>
      <protection/>
    </xf>
    <xf numFmtId="0" fontId="71" fillId="0" borderId="0" xfId="24" applyFont="1" applyAlignment="1">
      <alignment horizontal="left" vertical="center"/>
      <protection/>
    </xf>
    <xf numFmtId="0" fontId="46" fillId="0" borderId="0" xfId="24" applyFont="1" applyAlignment="1">
      <alignment horizontal="center" vertical="center"/>
      <protection/>
    </xf>
    <xf numFmtId="0" fontId="46" fillId="0" borderId="0" xfId="24" applyFont="1" applyAlignment="1">
      <alignment horizontal="left" vertical="top"/>
      <protection/>
    </xf>
    <xf numFmtId="0" fontId="46" fillId="0" borderId="0" xfId="24" applyFont="1" applyAlignment="1">
      <alignment horizontal="center" vertical="top"/>
      <protection/>
    </xf>
    <xf numFmtId="0" fontId="46" fillId="0" borderId="0" xfId="24" applyFont="1" applyAlignment="1">
      <alignment vertical="top"/>
      <protection/>
    </xf>
    <xf numFmtId="49" fontId="46" fillId="0" borderId="0" xfId="24" applyNumberFormat="1" applyFont="1" applyAlignment="1">
      <alignment horizontal="left" vertical="center"/>
      <protection/>
    </xf>
    <xf numFmtId="0" fontId="46" fillId="0" borderId="59" xfId="24" applyBorder="1" applyAlignment="1">
      <alignment vertical="top"/>
      <protection/>
    </xf>
    <xf numFmtId="0" fontId="46" fillId="0" borderId="0" xfId="24" applyAlignment="1">
      <alignment vertical="top"/>
      <protection/>
    </xf>
    <xf numFmtId="0" fontId="31" fillId="0" borderId="60" xfId="0" applyFont="1" applyBorder="1"/>
    <xf numFmtId="0" fontId="31" fillId="0" borderId="61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0" fillId="2" borderId="63" xfId="0" applyFont="1" applyFill="1" applyBorder="1"/>
    <xf numFmtId="0" fontId="29" fillId="2" borderId="64" xfId="0" applyFont="1" applyFill="1" applyBorder="1" applyAlignment="1">
      <alignment horizontal="center"/>
    </xf>
    <xf numFmtId="0" fontId="29" fillId="2" borderId="64" xfId="0" applyFont="1" applyFill="1" applyBorder="1"/>
    <xf numFmtId="0" fontId="29" fillId="2" borderId="65" xfId="0" applyFont="1" applyFill="1" applyBorder="1"/>
    <xf numFmtId="49" fontId="15" fillId="0" borderId="66" xfId="0" applyNumberFormat="1" applyFont="1" applyBorder="1" applyAlignment="1">
      <alignment horizontal="left" wrapText="1"/>
    </xf>
    <xf numFmtId="49" fontId="14" fillId="0" borderId="66" xfId="0" applyNumberFormat="1" applyFont="1" applyBorder="1" applyAlignment="1">
      <alignment horizontal="center" wrapText="1"/>
    </xf>
    <xf numFmtId="2" fontId="14" fillId="0" borderId="66" xfId="0" applyNumberFormat="1" applyFont="1" applyBorder="1" applyAlignment="1">
      <alignment horizontal="center" wrapText="1"/>
    </xf>
    <xf numFmtId="0" fontId="83" fillId="0" borderId="0" xfId="25" applyFont="1" applyAlignment="1">
      <alignment horizontal="center" vertical="center"/>
    </xf>
    <xf numFmtId="0" fontId="84" fillId="0" borderId="0" xfId="25" applyFont="1" applyAlignment="1" applyProtection="1">
      <alignment vertical="center" wrapText="1"/>
      <protection/>
    </xf>
    <xf numFmtId="0" fontId="85" fillId="0" borderId="67" xfId="24" applyFont="1" applyBorder="1" applyAlignment="1">
      <alignment vertical="center" wrapText="1"/>
      <protection/>
    </xf>
    <xf numFmtId="0" fontId="85" fillId="0" borderId="68" xfId="24" applyFont="1" applyBorder="1" applyAlignment="1">
      <alignment vertical="center" wrapText="1"/>
      <protection/>
    </xf>
    <xf numFmtId="0" fontId="85" fillId="0" borderId="69" xfId="24" applyFont="1" applyBorder="1" applyAlignment="1">
      <alignment vertical="center" wrapText="1"/>
      <protection/>
    </xf>
    <xf numFmtId="0" fontId="85" fillId="0" borderId="70" xfId="24" applyFont="1" applyBorder="1" applyAlignment="1">
      <alignment horizontal="center" vertical="center" wrapText="1"/>
      <protection/>
    </xf>
    <xf numFmtId="0" fontId="85" fillId="0" borderId="71" xfId="24" applyFont="1" applyBorder="1" applyAlignment="1">
      <alignment horizontal="center" vertical="center" wrapText="1"/>
      <protection/>
    </xf>
    <xf numFmtId="0" fontId="85" fillId="0" borderId="70" xfId="24" applyFont="1" applyBorder="1" applyAlignment="1">
      <alignment vertical="center" wrapText="1"/>
      <protection/>
    </xf>
    <xf numFmtId="0" fontId="85" fillId="0" borderId="71" xfId="24" applyFont="1" applyBorder="1" applyAlignment="1">
      <alignment vertical="center" wrapText="1"/>
      <protection/>
    </xf>
    <xf numFmtId="0" fontId="87" fillId="0" borderId="0" xfId="24" applyFont="1" applyAlignment="1">
      <alignment horizontal="left" vertical="center" wrapText="1"/>
      <protection/>
    </xf>
    <xf numFmtId="0" fontId="88" fillId="0" borderId="70" xfId="24" applyFont="1" applyBorder="1" applyAlignment="1">
      <alignment vertical="center" wrapText="1"/>
      <protection/>
    </xf>
    <xf numFmtId="0" fontId="85" fillId="0" borderId="72" xfId="24" applyFont="1" applyBorder="1" applyAlignment="1">
      <alignment vertical="center" wrapText="1"/>
      <protection/>
    </xf>
    <xf numFmtId="0" fontId="89" fillId="0" borderId="59" xfId="24" applyFont="1" applyBorder="1" applyAlignment="1">
      <alignment vertical="center" wrapText="1"/>
      <protection/>
    </xf>
    <xf numFmtId="0" fontId="85" fillId="0" borderId="73" xfId="24" applyFont="1" applyBorder="1" applyAlignment="1">
      <alignment vertical="center" wrapText="1"/>
      <protection/>
    </xf>
    <xf numFmtId="0" fontId="85" fillId="0" borderId="0" xfId="24" applyFont="1" applyAlignment="1">
      <alignment vertical="top"/>
      <protection/>
    </xf>
    <xf numFmtId="0" fontId="85" fillId="0" borderId="67" xfId="24" applyFont="1" applyBorder="1" applyAlignment="1">
      <alignment horizontal="left" vertical="center"/>
      <protection/>
    </xf>
    <xf numFmtId="0" fontId="85" fillId="0" borderId="68" xfId="24" applyFont="1" applyBorder="1" applyAlignment="1">
      <alignment horizontal="left" vertical="center"/>
      <protection/>
    </xf>
    <xf numFmtId="0" fontId="85" fillId="0" borderId="69" xfId="24" applyFont="1" applyBorder="1" applyAlignment="1">
      <alignment horizontal="left" vertical="center"/>
      <protection/>
    </xf>
    <xf numFmtId="0" fontId="85" fillId="0" borderId="70" xfId="24" applyFont="1" applyBorder="1" applyAlignment="1">
      <alignment horizontal="left" vertical="center"/>
      <protection/>
    </xf>
    <xf numFmtId="0" fontId="85" fillId="0" borderId="71" xfId="24" applyFont="1" applyBorder="1" applyAlignment="1">
      <alignment horizontal="left" vertical="center"/>
      <protection/>
    </xf>
    <xf numFmtId="0" fontId="87" fillId="0" borderId="0" xfId="24" applyFont="1" applyAlignment="1">
      <alignment horizontal="left" vertical="center"/>
      <protection/>
    </xf>
    <xf numFmtId="0" fontId="90" fillId="0" borderId="0" xfId="24" applyFont="1" applyAlignment="1">
      <alignment horizontal="left" vertical="center"/>
      <protection/>
    </xf>
    <xf numFmtId="0" fontId="87" fillId="0" borderId="59" xfId="24" applyFont="1" applyBorder="1" applyAlignment="1">
      <alignment horizontal="left" vertical="center"/>
      <protection/>
    </xf>
    <xf numFmtId="0" fontId="87" fillId="0" borderId="59" xfId="24" applyFont="1" applyBorder="1" applyAlignment="1">
      <alignment horizontal="center" vertical="center"/>
      <protection/>
    </xf>
    <xf numFmtId="0" fontId="90" fillId="0" borderId="59" xfId="24" applyFont="1" applyBorder="1" applyAlignment="1">
      <alignment horizontal="left" vertical="center"/>
      <protection/>
    </xf>
    <xf numFmtId="0" fontId="91" fillId="0" borderId="0" xfId="24" applyFont="1" applyAlignment="1">
      <alignment horizontal="left" vertical="center"/>
      <protection/>
    </xf>
    <xf numFmtId="0" fontId="88" fillId="0" borderId="0" xfId="24" applyFont="1" applyAlignment="1">
      <alignment horizontal="left" vertical="center"/>
      <protection/>
    </xf>
    <xf numFmtId="0" fontId="88" fillId="0" borderId="70" xfId="24" applyFont="1" applyBorder="1" applyAlignment="1">
      <alignment horizontal="left" vertical="center"/>
      <protection/>
    </xf>
    <xf numFmtId="0" fontId="85" fillId="0" borderId="72" xfId="24" applyFont="1" applyBorder="1" applyAlignment="1">
      <alignment horizontal="left" vertical="center"/>
      <protection/>
    </xf>
    <xf numFmtId="0" fontId="89" fillId="0" borderId="59" xfId="24" applyFont="1" applyBorder="1" applyAlignment="1">
      <alignment horizontal="left" vertical="center"/>
      <protection/>
    </xf>
    <xf numFmtId="0" fontId="85" fillId="0" borderId="73" xfId="24" applyFont="1" applyBorder="1" applyAlignment="1">
      <alignment horizontal="left" vertical="center"/>
      <protection/>
    </xf>
    <xf numFmtId="0" fontId="85" fillId="0" borderId="0" xfId="24" applyFont="1" applyAlignment="1">
      <alignment horizontal="left" vertical="center"/>
      <protection/>
    </xf>
    <xf numFmtId="0" fontId="89" fillId="0" borderId="0" xfId="24" applyFont="1" applyAlignment="1">
      <alignment horizontal="left" vertical="center"/>
      <protection/>
    </xf>
    <xf numFmtId="0" fontId="88" fillId="0" borderId="59" xfId="24" applyFont="1" applyBorder="1" applyAlignment="1">
      <alignment horizontal="left" vertical="center"/>
      <protection/>
    </xf>
    <xf numFmtId="0" fontId="85" fillId="0" borderId="0" xfId="24" applyFont="1" applyAlignment="1">
      <alignment horizontal="left" vertical="center" wrapText="1"/>
      <protection/>
    </xf>
    <xf numFmtId="0" fontId="88" fillId="0" borderId="0" xfId="24" applyFont="1" applyAlignment="1">
      <alignment horizontal="left" vertical="center" wrapText="1"/>
      <protection/>
    </xf>
    <xf numFmtId="0" fontId="88" fillId="0" borderId="0" xfId="24" applyFont="1" applyAlignment="1">
      <alignment horizontal="center" vertical="center" wrapText="1"/>
      <protection/>
    </xf>
    <xf numFmtId="0" fontId="85" fillId="0" borderId="67" xfId="24" applyFont="1" applyBorder="1" applyAlignment="1">
      <alignment horizontal="left" vertical="center" wrapText="1"/>
      <protection/>
    </xf>
    <xf numFmtId="0" fontId="85" fillId="0" borderId="68" xfId="24" applyFont="1" applyBorder="1" applyAlignment="1">
      <alignment horizontal="left" vertical="center" wrapText="1"/>
      <protection/>
    </xf>
    <xf numFmtId="0" fontId="85" fillId="0" borderId="69" xfId="24" applyFont="1" applyBorder="1" applyAlignment="1">
      <alignment horizontal="left" vertical="center" wrapText="1"/>
      <protection/>
    </xf>
    <xf numFmtId="0" fontId="85" fillId="0" borderId="70" xfId="24" applyFont="1" applyBorder="1" applyAlignment="1">
      <alignment horizontal="left" vertical="center" wrapText="1"/>
      <protection/>
    </xf>
    <xf numFmtId="0" fontId="85" fillId="0" borderId="71" xfId="24" applyFont="1" applyBorder="1" applyAlignment="1">
      <alignment horizontal="left" vertical="center" wrapText="1"/>
      <protection/>
    </xf>
    <xf numFmtId="0" fontId="90" fillId="0" borderId="70" xfId="24" applyFont="1" applyBorder="1" applyAlignment="1">
      <alignment horizontal="left" vertical="center" wrapText="1"/>
      <protection/>
    </xf>
    <xf numFmtId="0" fontId="90" fillId="0" borderId="71" xfId="24" applyFont="1" applyBorder="1" applyAlignment="1">
      <alignment horizontal="left" vertical="center" wrapText="1"/>
      <protection/>
    </xf>
    <xf numFmtId="0" fontId="88" fillId="0" borderId="70" xfId="24" applyFont="1" applyBorder="1" applyAlignment="1">
      <alignment horizontal="left" vertical="center" wrapText="1"/>
      <protection/>
    </xf>
    <xf numFmtId="0" fontId="88" fillId="0" borderId="71" xfId="24" applyFont="1" applyBorder="1" applyAlignment="1">
      <alignment horizontal="left" vertical="center" wrapText="1"/>
      <protection/>
    </xf>
    <xf numFmtId="0" fontId="88" fillId="0" borderId="71" xfId="24" applyFont="1" applyBorder="1" applyAlignment="1">
      <alignment horizontal="left" vertical="center"/>
      <protection/>
    </xf>
    <xf numFmtId="0" fontId="88" fillId="0" borderId="72" xfId="24" applyFont="1" applyBorder="1" applyAlignment="1">
      <alignment horizontal="left" vertical="center" wrapText="1"/>
      <protection/>
    </xf>
    <xf numFmtId="0" fontId="88" fillId="0" borderId="59" xfId="24" applyFont="1" applyBorder="1" applyAlignment="1">
      <alignment horizontal="left" vertical="center" wrapText="1"/>
      <protection/>
    </xf>
    <xf numFmtId="0" fontId="88" fillId="0" borderId="73" xfId="24" applyFont="1" applyBorder="1" applyAlignment="1">
      <alignment horizontal="left" vertical="center" wrapText="1"/>
      <protection/>
    </xf>
    <xf numFmtId="0" fontId="88" fillId="0" borderId="72" xfId="24" applyFont="1" applyBorder="1" applyAlignment="1">
      <alignment horizontal="left" vertical="center"/>
      <protection/>
    </xf>
    <xf numFmtId="0" fontId="88" fillId="0" borderId="73" xfId="24" applyFont="1" applyBorder="1" applyAlignment="1">
      <alignment horizontal="left" vertical="center"/>
      <protection/>
    </xf>
    <xf numFmtId="0" fontId="88" fillId="0" borderId="0" xfId="24" applyFont="1" applyAlignment="1">
      <alignment horizontal="center" vertical="center"/>
      <protection/>
    </xf>
    <xf numFmtId="0" fontId="90" fillId="0" borderId="0" xfId="24" applyFont="1" applyAlignment="1">
      <alignment vertical="center"/>
      <protection/>
    </xf>
    <xf numFmtId="0" fontId="87" fillId="0" borderId="0" xfId="24" applyFont="1" applyAlignment="1">
      <alignment vertical="center"/>
      <protection/>
    </xf>
    <xf numFmtId="0" fontId="90" fillId="0" borderId="59" xfId="24" applyFont="1" applyBorder="1" applyAlignment="1">
      <alignment vertical="center"/>
      <protection/>
    </xf>
    <xf numFmtId="0" fontId="87" fillId="0" borderId="59" xfId="24" applyFont="1" applyBorder="1" applyAlignment="1">
      <alignment vertical="center"/>
      <protection/>
    </xf>
    <xf numFmtId="0" fontId="87" fillId="0" borderId="59" xfId="24" applyFont="1" applyBorder="1" applyAlignment="1">
      <alignment horizontal="left"/>
      <protection/>
    </xf>
    <xf numFmtId="0" fontId="90" fillId="0" borderId="59" xfId="24" applyFont="1" applyBorder="1">
      <alignment/>
      <protection/>
    </xf>
    <xf numFmtId="0" fontId="85" fillId="0" borderId="70" xfId="24" applyFont="1" applyBorder="1" applyAlignment="1">
      <alignment vertical="top"/>
      <protection/>
    </xf>
    <xf numFmtId="0" fontId="85" fillId="0" borderId="71" xfId="24" applyFont="1" applyBorder="1" applyAlignment="1">
      <alignment vertical="top"/>
      <protection/>
    </xf>
    <xf numFmtId="0" fontId="85" fillId="0" borderId="72" xfId="24" applyFont="1" applyBorder="1" applyAlignment="1">
      <alignment vertical="top"/>
      <protection/>
    </xf>
    <xf numFmtId="0" fontId="85" fillId="0" borderId="59" xfId="24" applyFont="1" applyBorder="1" applyAlignment="1">
      <alignment vertical="top"/>
      <protection/>
    </xf>
    <xf numFmtId="0" fontId="85" fillId="0" borderId="73" xfId="24" applyFont="1" applyBorder="1" applyAlignment="1">
      <alignment vertical="top"/>
      <protection/>
    </xf>
    <xf numFmtId="0" fontId="92" fillId="0" borderId="0" xfId="24" applyFont="1" applyAlignment="1">
      <alignment horizontal="left" vertical="center" wrapText="1"/>
      <protection/>
    </xf>
    <xf numFmtId="0" fontId="35" fillId="0" borderId="0" xfId="26" applyNumberFormat="1" applyFont="1" applyFill="1" applyBorder="1" applyAlignment="1" applyProtection="1">
      <alignment/>
      <protection/>
    </xf>
    <xf numFmtId="0" fontId="36" fillId="0" borderId="23" xfId="26" applyNumberFormat="1" applyFont="1" applyFill="1" applyBorder="1" applyAlignment="1" applyProtection="1">
      <alignment horizontal="left" vertical="center"/>
      <protection/>
    </xf>
    <xf numFmtId="0" fontId="36" fillId="0" borderId="0" xfId="26" applyNumberFormat="1" applyFont="1" applyFill="1" applyBorder="1" applyAlignment="1" applyProtection="1">
      <alignment horizontal="left" vertical="center"/>
      <protection/>
    </xf>
    <xf numFmtId="0" fontId="36" fillId="0" borderId="38" xfId="26" applyNumberFormat="1" applyFont="1" applyFill="1" applyBorder="1" applyAlignment="1" applyProtection="1">
      <alignment horizontal="left" vertical="center"/>
      <protection/>
    </xf>
    <xf numFmtId="0" fontId="36" fillId="0" borderId="39" xfId="26" applyNumberFormat="1" applyFont="1" applyFill="1" applyBorder="1" applyAlignment="1" applyProtection="1">
      <alignment horizontal="left" vertical="center"/>
      <protection/>
    </xf>
    <xf numFmtId="0" fontId="39" fillId="5" borderId="24" xfId="26" applyNumberFormat="1" applyFont="1" applyFill="1" applyBorder="1" applyAlignment="1" applyProtection="1">
      <alignment horizontal="center" vertical="center"/>
      <protection/>
    </xf>
    <xf numFmtId="0" fontId="39" fillId="5" borderId="25" xfId="26" applyNumberFormat="1" applyFont="1" applyFill="1" applyBorder="1" applyAlignment="1" applyProtection="1">
      <alignment horizontal="center" vertical="center"/>
      <protection/>
    </xf>
    <xf numFmtId="0" fontId="41" fillId="0" borderId="26" xfId="26" applyNumberFormat="1" applyFont="1" applyFill="1" applyBorder="1" applyAlignment="1" applyProtection="1">
      <alignment horizontal="left" vertical="center"/>
      <protection/>
    </xf>
    <xf numFmtId="0" fontId="42" fillId="0" borderId="27" xfId="26" applyNumberFormat="1" applyFont="1" applyFill="1" applyBorder="1" applyAlignment="1" applyProtection="1">
      <alignment horizontal="left" vertical="center"/>
      <protection/>
    </xf>
    <xf numFmtId="4" fontId="42" fillId="0" borderId="27" xfId="26" applyNumberFormat="1" applyFont="1" applyFill="1" applyBorder="1" applyAlignment="1" applyProtection="1">
      <alignment horizontal="right" vertical="center"/>
      <protection/>
    </xf>
    <xf numFmtId="0" fontId="42" fillId="0" borderId="27" xfId="26" applyNumberFormat="1" applyFont="1" applyFill="1" applyBorder="1" applyAlignment="1" applyProtection="1">
      <alignment horizontal="right" vertical="center"/>
      <protection/>
    </xf>
    <xf numFmtId="0" fontId="41" fillId="0" borderId="28" xfId="26" applyNumberFormat="1" applyFont="1" applyFill="1" applyBorder="1" applyAlignment="1" applyProtection="1">
      <alignment horizontal="left" vertical="center"/>
      <protection/>
    </xf>
    <xf numFmtId="4" fontId="42" fillId="0" borderId="29" xfId="26" applyNumberFormat="1" applyFont="1" applyFill="1" applyBorder="1" applyAlignment="1" applyProtection="1">
      <alignment horizontal="right" vertical="center"/>
      <protection/>
    </xf>
    <xf numFmtId="0" fontId="42" fillId="0" borderId="29" xfId="26" applyNumberFormat="1" applyFont="1" applyFill="1" applyBorder="1" applyAlignment="1" applyProtection="1">
      <alignment horizontal="right" vertical="center"/>
      <protection/>
    </xf>
    <xf numFmtId="4" fontId="42" fillId="0" borderId="25" xfId="26" applyNumberFormat="1" applyFont="1" applyFill="1" applyBorder="1" applyAlignment="1" applyProtection="1">
      <alignment horizontal="right" vertical="center"/>
      <protection/>
    </xf>
    <xf numFmtId="4" fontId="42" fillId="0" borderId="30" xfId="26" applyNumberFormat="1" applyFont="1" applyFill="1" applyBorder="1" applyAlignment="1" applyProtection="1">
      <alignment horizontal="right" vertical="center"/>
      <protection/>
    </xf>
    <xf numFmtId="4" fontId="41" fillId="5" borderId="25" xfId="26" applyNumberFormat="1" applyFont="1" applyFill="1" applyBorder="1" applyAlignment="1" applyProtection="1">
      <alignment horizontal="right" vertical="center"/>
      <protection/>
    </xf>
    <xf numFmtId="4" fontId="41" fillId="5" borderId="27" xfId="26" applyNumberFormat="1" applyFont="1" applyFill="1" applyBorder="1" applyAlignment="1" applyProtection="1">
      <alignment horizontal="right" vertical="center"/>
      <protection/>
    </xf>
    <xf numFmtId="0" fontId="43" fillId="0" borderId="0" xfId="26" applyNumberFormat="1" applyFont="1" applyFill="1" applyBorder="1" applyAlignment="1" applyProtection="1">
      <alignment horizontal="left" vertical="center"/>
      <protection/>
    </xf>
    <xf numFmtId="4" fontId="37" fillId="5" borderId="0" xfId="26" applyNumberFormat="1" applyFont="1" applyFill="1" applyBorder="1" applyAlignment="1" applyProtection="1">
      <alignment horizontal="right" vertical="center"/>
      <protection/>
    </xf>
    <xf numFmtId="0" fontId="37" fillId="0" borderId="31" xfId="26" applyNumberFormat="1" applyFont="1" applyFill="1" applyBorder="1" applyAlignment="1" applyProtection="1">
      <alignment horizontal="left" vertical="center"/>
      <protection/>
    </xf>
    <xf numFmtId="0" fontId="37" fillId="0" borderId="32" xfId="26" applyNumberFormat="1" applyFont="1" applyFill="1" applyBorder="1" applyAlignment="1" applyProtection="1">
      <alignment horizontal="left" vertical="center"/>
      <protection/>
    </xf>
    <xf numFmtId="0" fontId="37" fillId="0" borderId="32" xfId="26" applyNumberFormat="1" applyFont="1" applyFill="1" applyBorder="1" applyAlignment="1" applyProtection="1">
      <alignment horizontal="center" vertical="center"/>
      <protection/>
    </xf>
    <xf numFmtId="0" fontId="37" fillId="0" borderId="33" xfId="26" applyNumberFormat="1" applyFont="1" applyFill="1" applyBorder="1" applyAlignment="1" applyProtection="1">
      <alignment horizontal="center" vertical="center"/>
      <protection/>
    </xf>
    <xf numFmtId="0" fontId="37" fillId="5" borderId="0" xfId="26" applyNumberFormat="1" applyFont="1" applyFill="1" applyBorder="1" applyAlignment="1" applyProtection="1">
      <alignment horizontal="right" vertical="center"/>
      <protection/>
    </xf>
    <xf numFmtId="0" fontId="37" fillId="0" borderId="0" xfId="26" applyNumberFormat="1" applyFont="1" applyFill="1" applyBorder="1" applyAlignment="1" applyProtection="1">
      <alignment horizontal="right" vertical="center"/>
      <protection/>
    </xf>
    <xf numFmtId="0" fontId="36" fillId="0" borderId="34" xfId="26" applyNumberFormat="1" applyFont="1" applyFill="1" applyBorder="1" applyAlignment="1" applyProtection="1">
      <alignment horizontal="left" vertical="center"/>
      <protection/>
    </xf>
    <xf numFmtId="0" fontId="36" fillId="0" borderId="30" xfId="26" applyNumberFormat="1" applyFont="1" applyFill="1" applyBorder="1" applyAlignment="1" applyProtection="1">
      <alignment horizontal="left" vertical="center"/>
      <protection/>
    </xf>
    <xf numFmtId="0" fontId="37" fillId="0" borderId="35" xfId="26" applyNumberFormat="1" applyFont="1" applyFill="1" applyBorder="1" applyAlignment="1" applyProtection="1">
      <alignment horizontal="center" vertical="center"/>
      <protection/>
    </xf>
    <xf numFmtId="0" fontId="37" fillId="0" borderId="36" xfId="26" applyNumberFormat="1" applyFont="1" applyFill="1" applyBorder="1" applyAlignment="1" applyProtection="1">
      <alignment horizontal="center" vertical="center"/>
      <protection/>
    </xf>
    <xf numFmtId="0" fontId="37" fillId="0" borderId="30" xfId="26" applyNumberFormat="1" applyFont="1" applyFill="1" applyBorder="1" applyAlignment="1" applyProtection="1">
      <alignment horizontal="center" vertical="center"/>
      <protection/>
    </xf>
    <xf numFmtId="0" fontId="37" fillId="0" borderId="37" xfId="26" applyNumberFormat="1" applyFont="1" applyFill="1" applyBorder="1" applyAlignment="1" applyProtection="1">
      <alignment horizontal="center" vertical="center"/>
      <protection/>
    </xf>
    <xf numFmtId="0" fontId="36" fillId="6" borderId="23" xfId="26" applyNumberFormat="1" applyFont="1" applyFill="1" applyBorder="1" applyAlignment="1" applyProtection="1">
      <alignment horizontal="left" vertical="center"/>
      <protection/>
    </xf>
    <xf numFmtId="0" fontId="37" fillId="6" borderId="0" xfId="26" applyNumberFormat="1" applyFont="1" applyFill="1" applyBorder="1" applyAlignment="1" applyProtection="1">
      <alignment horizontal="left" vertical="center"/>
      <protection/>
    </xf>
    <xf numFmtId="0" fontId="36" fillId="6" borderId="0" xfId="26" applyNumberFormat="1" applyFont="1" applyFill="1" applyBorder="1" applyAlignment="1" applyProtection="1">
      <alignment horizontal="left" vertical="center"/>
      <protection/>
    </xf>
    <xf numFmtId="4" fontId="37" fillId="6" borderId="0" xfId="26" applyNumberFormat="1" applyFont="1" applyFill="1" applyBorder="1" applyAlignment="1" applyProtection="1">
      <alignment horizontal="right" vertical="center"/>
      <protection/>
    </xf>
    <xf numFmtId="0" fontId="37" fillId="6" borderId="29" xfId="26" applyNumberFormat="1" applyFont="1" applyFill="1" applyBorder="1" applyAlignment="1" applyProtection="1">
      <alignment horizontal="right" vertical="center"/>
      <protection/>
    </xf>
    <xf numFmtId="0" fontId="36" fillId="5" borderId="23" xfId="26" applyNumberFormat="1" applyFont="1" applyFill="1" applyBorder="1" applyAlignment="1" applyProtection="1">
      <alignment horizontal="left" vertical="center"/>
      <protection/>
    </xf>
    <xf numFmtId="0" fontId="37" fillId="5" borderId="0" xfId="26" applyNumberFormat="1" applyFont="1" applyFill="1" applyBorder="1" applyAlignment="1" applyProtection="1">
      <alignment horizontal="left" vertical="center"/>
      <protection/>
    </xf>
    <xf numFmtId="0" fontId="36" fillId="5" borderId="0" xfId="26" applyNumberFormat="1" applyFont="1" applyFill="1" applyBorder="1" applyAlignment="1" applyProtection="1">
      <alignment horizontal="left" vertical="center"/>
      <protection/>
    </xf>
    <xf numFmtId="0" fontId="37" fillId="5" borderId="29" xfId="26" applyNumberFormat="1" applyFont="1" applyFill="1" applyBorder="1" applyAlignment="1" applyProtection="1">
      <alignment horizontal="right" vertical="center"/>
      <protection/>
    </xf>
    <xf numFmtId="4" fontId="36" fillId="0" borderId="0" xfId="26" applyNumberFormat="1" applyFont="1" applyFill="1" applyBorder="1" applyAlignment="1" applyProtection="1">
      <alignment horizontal="right" vertical="center"/>
      <protection/>
    </xf>
    <xf numFmtId="0" fontId="36" fillId="0" borderId="29" xfId="26" applyNumberFormat="1" applyFont="1" applyFill="1" applyBorder="1" applyAlignment="1" applyProtection="1">
      <alignment horizontal="right" vertical="center"/>
      <protection/>
    </xf>
    <xf numFmtId="0" fontId="36" fillId="0" borderId="0" xfId="26" applyNumberFormat="1" applyFont="1" applyFill="1" applyBorder="1" applyAlignment="1" applyProtection="1">
      <alignment horizontal="right" vertical="center"/>
      <protection/>
    </xf>
    <xf numFmtId="0" fontId="35" fillId="0" borderId="23" xfId="26" applyNumberFormat="1" applyFont="1" applyFill="1" applyBorder="1" applyAlignment="1" applyProtection="1">
      <alignment/>
      <protection/>
    </xf>
    <xf numFmtId="0" fontId="44" fillId="0" borderId="0" xfId="26" applyNumberFormat="1" applyFont="1" applyFill="1" applyBorder="1" applyAlignment="1" applyProtection="1">
      <alignment horizontal="right" vertical="center"/>
      <protection/>
    </xf>
    <xf numFmtId="4" fontId="36" fillId="0" borderId="39" xfId="26" applyNumberFormat="1" applyFont="1" applyFill="1" applyBorder="1" applyAlignment="1" applyProtection="1">
      <alignment horizontal="right" vertical="center"/>
      <protection/>
    </xf>
    <xf numFmtId="0" fontId="36" fillId="0" borderId="27" xfId="26" applyNumberFormat="1" applyFont="1" applyFill="1" applyBorder="1" applyAlignment="1" applyProtection="1">
      <alignment horizontal="right" vertical="center"/>
      <protection/>
    </xf>
    <xf numFmtId="4" fontId="37" fillId="0" borderId="0" xfId="26" applyNumberFormat="1" applyFont="1" applyFill="1" applyBorder="1" applyAlignment="1" applyProtection="1">
      <alignment horizontal="right" vertical="center"/>
      <protection/>
    </xf>
    <xf numFmtId="173" fontId="0" fillId="0" borderId="1" xfId="0" applyNumberFormat="1" applyBorder="1"/>
    <xf numFmtId="173" fontId="2" fillId="0" borderId="1" xfId="0" applyNumberFormat="1" applyFont="1" applyBorder="1"/>
    <xf numFmtId="0" fontId="3" fillId="10" borderId="74" xfId="0" applyFont="1" applyFill="1" applyBorder="1" applyAlignment="1">
      <alignment horizontal="left" vertical="center"/>
    </xf>
    <xf numFmtId="0" fontId="3" fillId="10" borderId="75" xfId="0" applyFont="1" applyFill="1" applyBorder="1" applyAlignment="1">
      <alignment horizontal="left" vertical="center"/>
    </xf>
    <xf numFmtId="0" fontId="5" fillId="10" borderId="74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3" fillId="10" borderId="76" xfId="0" applyFont="1" applyFill="1" applyBorder="1" applyAlignment="1">
      <alignment horizontal="left" vertical="center"/>
    </xf>
    <xf numFmtId="0" fontId="3" fillId="10" borderId="77" xfId="0" applyFont="1" applyFill="1" applyBorder="1" applyAlignment="1">
      <alignment horizontal="left" vertical="center"/>
    </xf>
    <xf numFmtId="0" fontId="3" fillId="10" borderId="78" xfId="0" applyFont="1" applyFill="1" applyBorder="1" applyAlignment="1">
      <alignment horizontal="left" vertical="center"/>
    </xf>
    <xf numFmtId="0" fontId="3" fillId="10" borderId="79" xfId="0" applyFont="1" applyFill="1" applyBorder="1" applyAlignment="1">
      <alignment horizontal="left" vertical="center"/>
    </xf>
    <xf numFmtId="0" fontId="36" fillId="0" borderId="0" xfId="23" applyNumberFormat="1" applyFont="1" applyFill="1" applyBorder="1" applyAlignment="1" applyProtection="1">
      <alignment horizontal="left" vertical="center" wrapText="1"/>
      <protection/>
    </xf>
    <xf numFmtId="0" fontId="36" fillId="0" borderId="0" xfId="23" applyNumberFormat="1" applyFont="1" applyFill="1" applyBorder="1" applyAlignment="1" applyProtection="1">
      <alignment horizontal="left" vertical="center"/>
      <protection/>
    </xf>
    <xf numFmtId="0" fontId="42" fillId="0" borderId="80" xfId="23" applyNumberFormat="1" applyFont="1" applyFill="1" applyBorder="1" applyAlignment="1" applyProtection="1">
      <alignment horizontal="left" vertical="center"/>
      <protection/>
    </xf>
    <xf numFmtId="0" fontId="42" fillId="0" borderId="0" xfId="23" applyNumberFormat="1" applyFont="1" applyFill="1" applyBorder="1" applyAlignment="1" applyProtection="1">
      <alignment horizontal="left" vertical="center"/>
      <protection/>
    </xf>
    <xf numFmtId="0" fontId="42" fillId="0" borderId="81" xfId="23" applyNumberFormat="1" applyFont="1" applyFill="1" applyBorder="1" applyAlignment="1" applyProtection="1">
      <alignment horizontal="left" vertical="center"/>
      <protection/>
    </xf>
    <xf numFmtId="0" fontId="42" fillId="0" borderId="82" xfId="23" applyNumberFormat="1" applyFont="1" applyFill="1" applyBorder="1" applyAlignment="1" applyProtection="1">
      <alignment horizontal="left" vertical="center"/>
      <protection/>
    </xf>
    <xf numFmtId="0" fontId="42" fillId="0" borderId="35" xfId="23" applyNumberFormat="1" applyFont="1" applyFill="1" applyBorder="1" applyAlignment="1" applyProtection="1">
      <alignment horizontal="left" vertical="center"/>
      <protection/>
    </xf>
    <xf numFmtId="0" fontId="42" fillId="0" borderId="37" xfId="23" applyNumberFormat="1" applyFont="1" applyFill="1" applyBorder="1" applyAlignment="1" applyProtection="1">
      <alignment horizontal="left" vertical="center"/>
      <protection/>
    </xf>
    <xf numFmtId="0" fontId="41" fillId="5" borderId="38" xfId="23" applyNumberFormat="1" applyFont="1" applyFill="1" applyBorder="1" applyAlignment="1" applyProtection="1">
      <alignment horizontal="left" vertical="center"/>
      <protection/>
    </xf>
    <xf numFmtId="0" fontId="41" fillId="5" borderId="39" xfId="23" applyNumberFormat="1" applyFont="1" applyFill="1" applyBorder="1" applyAlignment="1" applyProtection="1">
      <alignment horizontal="left" vertical="center"/>
      <protection/>
    </xf>
    <xf numFmtId="0" fontId="42" fillId="0" borderId="83" xfId="23" applyNumberFormat="1" applyFont="1" applyFill="1" applyBorder="1" applyAlignment="1" applyProtection="1">
      <alignment horizontal="left" vertical="center"/>
      <protection/>
    </xf>
    <xf numFmtId="0" fontId="42" fillId="0" borderId="33" xfId="23" applyNumberFormat="1" applyFont="1" applyFill="1" applyBorder="1" applyAlignment="1" applyProtection="1">
      <alignment horizontal="left" vertical="center"/>
      <protection/>
    </xf>
    <xf numFmtId="0" fontId="42" fillId="0" borderId="84" xfId="23" applyNumberFormat="1" applyFont="1" applyFill="1" applyBorder="1" applyAlignment="1" applyProtection="1">
      <alignment horizontal="left" vertical="center"/>
      <protection/>
    </xf>
    <xf numFmtId="0" fontId="41" fillId="5" borderId="85" xfId="23" applyNumberFormat="1" applyFont="1" applyFill="1" applyBorder="1" applyAlignment="1" applyProtection="1">
      <alignment horizontal="left" vertical="center"/>
      <protection/>
    </xf>
    <xf numFmtId="0" fontId="41" fillId="0" borderId="23" xfId="23" applyNumberFormat="1" applyFont="1" applyFill="1" applyBorder="1" applyAlignment="1" applyProtection="1">
      <alignment horizontal="left" vertical="center"/>
      <protection/>
    </xf>
    <xf numFmtId="0" fontId="41" fillId="0" borderId="29" xfId="23" applyNumberFormat="1" applyFont="1" applyFill="1" applyBorder="1" applyAlignment="1" applyProtection="1">
      <alignment horizontal="left" vertical="center"/>
      <protection/>
    </xf>
    <xf numFmtId="0" fontId="42" fillId="0" borderId="29" xfId="23" applyNumberFormat="1" applyFont="1" applyFill="1" applyBorder="1" applyAlignment="1" applyProtection="1">
      <alignment horizontal="left" vertical="center"/>
      <protection/>
    </xf>
    <xf numFmtId="0" fontId="41" fillId="0" borderId="86" xfId="23" applyNumberFormat="1" applyFont="1" applyFill="1" applyBorder="1" applyAlignment="1" applyProtection="1">
      <alignment horizontal="left" vertical="center"/>
      <protection/>
    </xf>
    <xf numFmtId="0" fontId="41" fillId="0" borderId="25" xfId="23" applyNumberFormat="1" applyFont="1" applyFill="1" applyBorder="1" applyAlignment="1" applyProtection="1">
      <alignment horizontal="left" vertical="center"/>
      <protection/>
    </xf>
    <xf numFmtId="0" fontId="41" fillId="0" borderId="85" xfId="23" applyNumberFormat="1" applyFont="1" applyFill="1" applyBorder="1" applyAlignment="1" applyProtection="1">
      <alignment horizontal="left" vertical="center"/>
      <protection/>
    </xf>
    <xf numFmtId="0" fontId="41" fillId="0" borderId="38" xfId="23" applyNumberFormat="1" applyFont="1" applyFill="1" applyBorder="1" applyAlignment="1" applyProtection="1">
      <alignment horizontal="left" vertical="center"/>
      <protection/>
    </xf>
    <xf numFmtId="0" fontId="41" fillId="0" borderId="27" xfId="23" applyNumberFormat="1" applyFont="1" applyFill="1" applyBorder="1" applyAlignment="1" applyProtection="1">
      <alignment horizontal="left" vertical="center"/>
      <protection/>
    </xf>
    <xf numFmtId="0" fontId="41" fillId="0" borderId="39" xfId="23" applyNumberFormat="1" applyFont="1" applyFill="1" applyBorder="1" applyAlignment="1" applyProtection="1">
      <alignment horizontal="left" vertical="center"/>
      <protection/>
    </xf>
    <xf numFmtId="0" fontId="41" fillId="5" borderId="86" xfId="23" applyNumberFormat="1" applyFont="1" applyFill="1" applyBorder="1" applyAlignment="1" applyProtection="1">
      <alignment horizontal="left" vertical="center"/>
      <protection/>
    </xf>
    <xf numFmtId="0" fontId="42" fillId="0" borderId="39" xfId="23" applyNumberFormat="1" applyFont="1" applyFill="1" applyBorder="1" applyAlignment="1" applyProtection="1">
      <alignment horizontal="left" vertical="center"/>
      <protection/>
    </xf>
    <xf numFmtId="0" fontId="42" fillId="0" borderId="27" xfId="23" applyNumberFormat="1" applyFont="1" applyFill="1" applyBorder="1" applyAlignment="1" applyProtection="1">
      <alignment horizontal="left" vertical="center"/>
      <protection/>
    </xf>
    <xf numFmtId="0" fontId="38" fillId="0" borderId="0" xfId="23" applyNumberFormat="1" applyFont="1" applyFill="1" applyBorder="1" applyAlignment="1" applyProtection="1">
      <alignment horizontal="center" vertical="center"/>
      <protection/>
    </xf>
    <xf numFmtId="0" fontId="40" fillId="0" borderId="85" xfId="23" applyNumberFormat="1" applyFont="1" applyFill="1" applyBorder="1" applyAlignment="1" applyProtection="1">
      <alignment horizontal="left" vertical="center"/>
      <protection/>
    </xf>
    <xf numFmtId="0" fontId="40" fillId="0" borderId="25" xfId="23" applyNumberFormat="1" applyFont="1" applyFill="1" applyBorder="1" applyAlignment="1" applyProtection="1">
      <alignment horizontal="left" vertical="center"/>
      <protection/>
    </xf>
    <xf numFmtId="0" fontId="36" fillId="0" borderId="29" xfId="23" applyNumberFormat="1" applyFont="1" applyFill="1" applyBorder="1" applyAlignment="1" applyProtection="1">
      <alignment horizontal="left" vertical="center" wrapText="1"/>
      <protection/>
    </xf>
    <xf numFmtId="0" fontId="36" fillId="0" borderId="27" xfId="23" applyNumberFormat="1" applyFont="1" applyFill="1" applyBorder="1" applyAlignment="1" applyProtection="1">
      <alignment horizontal="left" vertical="center"/>
      <protection/>
    </xf>
    <xf numFmtId="0" fontId="36" fillId="0" borderId="23" xfId="23" applyNumberFormat="1" applyFont="1" applyFill="1" applyBorder="1" applyAlignment="1" applyProtection="1">
      <alignment horizontal="left" vertical="center" wrapText="1"/>
      <protection/>
    </xf>
    <xf numFmtId="0" fontId="36" fillId="0" borderId="23" xfId="23" applyNumberFormat="1" applyFont="1" applyFill="1" applyBorder="1" applyAlignment="1" applyProtection="1">
      <alignment horizontal="left" vertical="center"/>
      <protection/>
    </xf>
    <xf numFmtId="1" fontId="36" fillId="0" borderId="29" xfId="23" applyNumberFormat="1" applyFont="1" applyFill="1" applyBorder="1" applyAlignment="1" applyProtection="1">
      <alignment horizontal="left" vertical="center"/>
      <protection/>
    </xf>
    <xf numFmtId="0" fontId="36" fillId="0" borderId="29" xfId="23" applyNumberFormat="1" applyFont="1" applyFill="1" applyBorder="1" applyAlignment="1" applyProtection="1">
      <alignment horizontal="left" vertical="center"/>
      <protection/>
    </xf>
    <xf numFmtId="0" fontId="36" fillId="0" borderId="38" xfId="23" applyNumberFormat="1" applyFont="1" applyFill="1" applyBorder="1" applyAlignment="1" applyProtection="1">
      <alignment horizontal="left" vertical="center"/>
      <protection/>
    </xf>
    <xf numFmtId="0" fontId="36" fillId="0" borderId="39" xfId="23" applyNumberFormat="1" applyFont="1" applyFill="1" applyBorder="1" applyAlignment="1" applyProtection="1">
      <alignment horizontal="left" vertical="center"/>
      <protection/>
    </xf>
    <xf numFmtId="0" fontId="34" fillId="0" borderId="0" xfId="23" applyNumberFormat="1" applyFont="1" applyFill="1" applyBorder="1" applyAlignment="1" applyProtection="1">
      <alignment horizontal="center" vertical="center" wrapText="1"/>
      <protection/>
    </xf>
    <xf numFmtId="0" fontId="34" fillId="0" borderId="0" xfId="23" applyNumberFormat="1" applyFont="1" applyFill="1" applyBorder="1" applyAlignment="1" applyProtection="1">
      <alignment horizontal="center" vertical="center"/>
      <protection/>
    </xf>
    <xf numFmtId="0" fontId="36" fillId="0" borderId="40" xfId="23" applyNumberFormat="1" applyFont="1" applyFill="1" applyBorder="1" applyAlignment="1" applyProtection="1">
      <alignment horizontal="left" vertical="center" wrapText="1"/>
      <protection/>
    </xf>
    <xf numFmtId="0" fontId="36" fillId="0" borderId="41" xfId="23" applyNumberFormat="1" applyFont="1" applyFill="1" applyBorder="1" applyAlignment="1" applyProtection="1">
      <alignment horizontal="left" vertical="center"/>
      <protection/>
    </xf>
    <xf numFmtId="0" fontId="37" fillId="0" borderId="41" xfId="23" applyNumberFormat="1" applyFont="1" applyFill="1" applyBorder="1" applyAlignment="1" applyProtection="1">
      <alignment horizontal="left" vertical="center" wrapText="1"/>
      <protection/>
    </xf>
    <xf numFmtId="0" fontId="37" fillId="0" borderId="41" xfId="23" applyNumberFormat="1" applyFont="1" applyFill="1" applyBorder="1" applyAlignment="1" applyProtection="1">
      <alignment horizontal="left" vertical="center"/>
      <protection/>
    </xf>
    <xf numFmtId="0" fontId="37" fillId="0" borderId="0" xfId="23" applyNumberFormat="1" applyFont="1" applyFill="1" applyBorder="1" applyAlignment="1" applyProtection="1">
      <alignment horizontal="left" vertical="center"/>
      <protection/>
    </xf>
    <xf numFmtId="0" fontId="36" fillId="0" borderId="41" xfId="23" applyNumberFormat="1" applyFont="1" applyFill="1" applyBorder="1" applyAlignment="1" applyProtection="1">
      <alignment horizontal="left" vertical="center" wrapText="1"/>
      <protection/>
    </xf>
    <xf numFmtId="0" fontId="36" fillId="0" borderId="87" xfId="23" applyNumberFormat="1" applyFont="1" applyFill="1" applyBorder="1" applyAlignment="1" applyProtection="1">
      <alignment horizontal="left" vertical="center"/>
      <protection/>
    </xf>
    <xf numFmtId="0" fontId="37" fillId="5" borderId="0" xfId="23" applyNumberFormat="1" applyFont="1" applyFill="1" applyBorder="1" applyAlignment="1" applyProtection="1">
      <alignment horizontal="left" vertical="center" wrapText="1"/>
      <protection/>
    </xf>
    <xf numFmtId="0" fontId="37" fillId="5" borderId="0" xfId="23" applyNumberFormat="1" applyFont="1" applyFill="1" applyBorder="1" applyAlignment="1" applyProtection="1">
      <alignment horizontal="left" vertical="center"/>
      <protection/>
    </xf>
    <xf numFmtId="0" fontId="44" fillId="0" borderId="39" xfId="23" applyNumberFormat="1" applyFont="1" applyFill="1" applyBorder="1" applyAlignment="1" applyProtection="1">
      <alignment horizontal="left" vertical="center" wrapText="1"/>
      <protection/>
    </xf>
    <xf numFmtId="0" fontId="44" fillId="0" borderId="39" xfId="23" applyNumberFormat="1" applyFont="1" applyFill="1" applyBorder="1" applyAlignment="1" applyProtection="1">
      <alignment horizontal="left" vertical="center"/>
      <protection/>
    </xf>
    <xf numFmtId="0" fontId="44" fillId="0" borderId="27" xfId="23" applyNumberFormat="1" applyFont="1" applyFill="1" applyBorder="1" applyAlignment="1" applyProtection="1">
      <alignment horizontal="left" vertical="center"/>
      <protection/>
    </xf>
    <xf numFmtId="0" fontId="44" fillId="0" borderId="0" xfId="23" applyNumberFormat="1" applyFont="1" applyFill="1" applyBorder="1" applyAlignment="1" applyProtection="1">
      <alignment horizontal="left" vertical="center" wrapText="1"/>
      <protection/>
    </xf>
    <xf numFmtId="0" fontId="44" fillId="0" borderId="0" xfId="23" applyNumberFormat="1" applyFont="1" applyFill="1" applyBorder="1" applyAlignment="1" applyProtection="1">
      <alignment horizontal="left" vertical="center"/>
      <protection/>
    </xf>
    <xf numFmtId="0" fontId="44" fillId="0" borderId="29" xfId="23" applyNumberFormat="1" applyFont="1" applyFill="1" applyBorder="1" applyAlignment="1" applyProtection="1">
      <alignment horizontal="left" vertical="center"/>
      <protection/>
    </xf>
    <xf numFmtId="0" fontId="37" fillId="6" borderId="0" xfId="23" applyNumberFormat="1" applyFont="1" applyFill="1" applyBorder="1" applyAlignment="1" applyProtection="1">
      <alignment horizontal="left" vertical="center" wrapText="1"/>
      <protection/>
    </xf>
    <xf numFmtId="0" fontId="37" fillId="6" borderId="0" xfId="23" applyNumberFormat="1" applyFont="1" applyFill="1" applyBorder="1" applyAlignment="1" applyProtection="1">
      <alignment horizontal="left" vertical="center"/>
      <protection/>
    </xf>
    <xf numFmtId="0" fontId="37" fillId="0" borderId="33" xfId="23" applyNumberFormat="1" applyFont="1" applyFill="1" applyBorder="1" applyAlignment="1" applyProtection="1">
      <alignment horizontal="left" vertical="center"/>
      <protection/>
    </xf>
    <xf numFmtId="0" fontId="37" fillId="0" borderId="32" xfId="23" applyNumberFormat="1" applyFont="1" applyFill="1" applyBorder="1" applyAlignment="1" applyProtection="1">
      <alignment horizontal="left" vertical="center"/>
      <protection/>
    </xf>
    <xf numFmtId="0" fontId="37" fillId="0" borderId="88" xfId="23" applyNumberFormat="1" applyFont="1" applyFill="1" applyBorder="1" applyAlignment="1" applyProtection="1">
      <alignment horizontal="center" vertical="center"/>
      <protection/>
    </xf>
    <xf numFmtId="0" fontId="37" fillId="0" borderId="89" xfId="23" applyNumberFormat="1" applyFont="1" applyFill="1" applyBorder="1" applyAlignment="1" applyProtection="1">
      <alignment horizontal="center" vertical="center"/>
      <protection/>
    </xf>
    <xf numFmtId="0" fontId="37" fillId="0" borderId="90" xfId="23" applyNumberFormat="1" applyFont="1" applyFill="1" applyBorder="1" applyAlignment="1" applyProtection="1">
      <alignment horizontal="center" vertical="center"/>
      <protection/>
    </xf>
    <xf numFmtId="0" fontId="37" fillId="0" borderId="35" xfId="23" applyNumberFormat="1" applyFont="1" applyFill="1" applyBorder="1" applyAlignment="1" applyProtection="1">
      <alignment horizontal="left" vertical="center"/>
      <protection/>
    </xf>
    <xf numFmtId="0" fontId="37" fillId="0" borderId="30" xfId="23" applyNumberFormat="1" applyFont="1" applyFill="1" applyBorder="1" applyAlignment="1" applyProtection="1">
      <alignment horizontal="left" vertical="center"/>
      <protection/>
    </xf>
    <xf numFmtId="0" fontId="46" fillId="0" borderId="0" xfId="24">
      <alignment/>
      <protection/>
    </xf>
    <xf numFmtId="0" fontId="9" fillId="0" borderId="0" xfId="24" applyFont="1" applyAlignment="1">
      <alignment horizontal="left" vertical="center"/>
      <protection/>
    </xf>
    <xf numFmtId="0" fontId="52" fillId="0" borderId="0" xfId="24" applyFont="1" applyAlignment="1">
      <alignment horizontal="left" vertical="top" wrapText="1"/>
      <protection/>
    </xf>
    <xf numFmtId="0" fontId="52" fillId="0" borderId="0" xfId="24" applyFont="1" applyAlignment="1">
      <alignment horizontal="left" vertical="center"/>
      <protection/>
    </xf>
    <xf numFmtId="0" fontId="54" fillId="0" borderId="0" xfId="24" applyFont="1" applyAlignment="1">
      <alignment horizontal="left" vertical="center"/>
      <protection/>
    </xf>
    <xf numFmtId="0" fontId="13" fillId="0" borderId="0" xfId="24" applyFont="1" applyAlignment="1">
      <alignment horizontal="left" vertical="top" wrapText="1"/>
      <protection/>
    </xf>
    <xf numFmtId="49" fontId="9" fillId="7" borderId="0" xfId="24" applyNumberFormat="1" applyFont="1" applyFill="1" applyAlignment="1" applyProtection="1">
      <alignment horizontal="left" vertical="center"/>
      <protection locked="0"/>
    </xf>
    <xf numFmtId="49" fontId="9" fillId="0" borderId="0" xfId="24" applyNumberFormat="1" applyFont="1" applyAlignment="1">
      <alignment horizontal="left" vertical="center"/>
      <protection/>
    </xf>
    <xf numFmtId="0" fontId="9" fillId="0" borderId="0" xfId="24" applyFont="1" applyAlignment="1">
      <alignment horizontal="left" vertical="center" wrapText="1"/>
      <protection/>
    </xf>
    <xf numFmtId="4" fontId="53" fillId="0" borderId="43" xfId="24" applyNumberFormat="1" applyFont="1" applyBorder="1" applyAlignment="1">
      <alignment vertical="center"/>
      <protection/>
    </xf>
    <xf numFmtId="0" fontId="46" fillId="0" borderId="43" xfId="24" applyBorder="1" applyAlignment="1">
      <alignment vertical="center"/>
      <protection/>
    </xf>
    <xf numFmtId="0" fontId="51" fillId="0" borderId="0" xfId="24" applyFont="1" applyAlignment="1">
      <alignment horizontal="right" vertical="center"/>
      <protection/>
    </xf>
    <xf numFmtId="174" fontId="51" fillId="0" borderId="0" xfId="24" applyNumberFormat="1" applyFont="1" applyAlignment="1">
      <alignment horizontal="left" vertical="center"/>
      <protection/>
    </xf>
    <xf numFmtId="0" fontId="51" fillId="0" borderId="0" xfId="24" applyFont="1" applyAlignment="1">
      <alignment vertical="center"/>
      <protection/>
    </xf>
    <xf numFmtId="4" fontId="54" fillId="0" borderId="0" xfId="24" applyNumberFormat="1" applyFont="1" applyAlignment="1">
      <alignment vertical="center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vertical="center"/>
      <protection/>
    </xf>
    <xf numFmtId="0" fontId="55" fillId="8" borderId="45" xfId="24" applyFont="1" applyFill="1" applyBorder="1" applyAlignment="1">
      <alignment horizontal="left" vertical="center"/>
      <protection/>
    </xf>
    <xf numFmtId="0" fontId="46" fillId="8" borderId="45" xfId="24" applyFill="1" applyBorder="1" applyAlignment="1">
      <alignment vertical="center"/>
      <protection/>
    </xf>
    <xf numFmtId="4" fontId="55" fillId="8" borderId="45" xfId="24" applyNumberFormat="1" applyFont="1" applyFill="1" applyBorder="1" applyAlignment="1">
      <alignment vertical="center"/>
      <protection/>
    </xf>
    <xf numFmtId="0" fontId="46" fillId="8" borderId="49" xfId="24" applyFill="1" applyBorder="1" applyAlignment="1">
      <alignment vertical="center"/>
      <protection/>
    </xf>
    <xf numFmtId="175" fontId="9" fillId="0" borderId="0" xfId="24" applyNumberFormat="1" applyFont="1" applyAlignment="1">
      <alignment horizontal="left" vertical="center"/>
      <protection/>
    </xf>
    <xf numFmtId="0" fontId="9" fillId="0" borderId="0" xfId="24" applyFont="1" applyAlignment="1">
      <alignment vertical="center" wrapText="1"/>
      <protection/>
    </xf>
    <xf numFmtId="0" fontId="9" fillId="0" borderId="0" xfId="24" applyFont="1" applyAlignment="1">
      <alignment vertical="center"/>
      <protection/>
    </xf>
    <xf numFmtId="0" fontId="56" fillId="0" borderId="53" xfId="24" applyFont="1" applyBorder="1" applyAlignment="1">
      <alignment horizontal="center" vertical="center"/>
      <protection/>
    </xf>
    <xf numFmtId="0" fontId="56" fillId="0" borderId="46" xfId="24" applyFont="1" applyBorder="1" applyAlignment="1">
      <alignment horizontal="left" vertical="center"/>
      <protection/>
    </xf>
    <xf numFmtId="0" fontId="57" fillId="0" borderId="54" xfId="24" applyFont="1" applyBorder="1" applyAlignment="1">
      <alignment horizontal="left" vertical="center"/>
      <protection/>
    </xf>
    <xf numFmtId="0" fontId="57" fillId="0" borderId="0" xfId="24" applyFont="1" applyAlignment="1">
      <alignment horizontal="left" vertical="center"/>
      <protection/>
    </xf>
    <xf numFmtId="0" fontId="19" fillId="9" borderId="44" xfId="24" applyFont="1" applyFill="1" applyBorder="1" applyAlignment="1">
      <alignment horizontal="center" vertical="center"/>
      <protection/>
    </xf>
    <xf numFmtId="0" fontId="19" fillId="9" borderId="45" xfId="24" applyFont="1" applyFill="1" applyBorder="1" applyAlignment="1">
      <alignment horizontal="left" vertical="center"/>
      <protection/>
    </xf>
    <xf numFmtId="0" fontId="19" fillId="9" borderId="45" xfId="24" applyFont="1" applyFill="1" applyBorder="1" applyAlignment="1">
      <alignment horizontal="center" vertical="center"/>
      <protection/>
    </xf>
    <xf numFmtId="0" fontId="19" fillId="9" borderId="45" xfId="24" applyFont="1" applyFill="1" applyBorder="1" applyAlignment="1">
      <alignment horizontal="right" vertical="center"/>
      <protection/>
    </xf>
    <xf numFmtId="4" fontId="59" fillId="0" borderId="0" xfId="24" applyNumberFormat="1" applyFont="1" applyAlignment="1">
      <alignment horizontal="right" vertical="center"/>
      <protection/>
    </xf>
    <xf numFmtId="4" fontId="59" fillId="0" borderId="0" xfId="24" applyNumberFormat="1" applyFont="1" applyAlignment="1">
      <alignment vertical="center"/>
      <protection/>
    </xf>
    <xf numFmtId="0" fontId="62" fillId="0" borderId="0" xfId="24" applyFont="1" applyAlignment="1">
      <alignment horizontal="left" vertical="center" wrapText="1"/>
      <protection/>
    </xf>
    <xf numFmtId="4" fontId="63" fillId="0" borderId="0" xfId="24" applyNumberFormat="1" applyFont="1" applyAlignment="1">
      <alignment horizontal="right" vertical="center"/>
      <protection/>
    </xf>
    <xf numFmtId="0" fontId="63" fillId="0" borderId="0" xfId="24" applyFont="1" applyAlignment="1">
      <alignment vertical="center"/>
      <protection/>
    </xf>
    <xf numFmtId="4" fontId="63" fillId="0" borderId="0" xfId="24" applyNumberFormat="1" applyFont="1" applyAlignment="1">
      <alignment vertical="center"/>
      <protection/>
    </xf>
    <xf numFmtId="0" fontId="66" fillId="0" borderId="0" xfId="24" applyFont="1" applyAlignment="1">
      <alignment horizontal="left" vertical="center" wrapText="1"/>
      <protection/>
    </xf>
    <xf numFmtId="4" fontId="65" fillId="0" borderId="0" xfId="24" applyNumberFormat="1" applyFont="1" applyAlignment="1">
      <alignment vertical="center"/>
      <protection/>
    </xf>
    <xf numFmtId="0" fontId="65" fillId="0" borderId="0" xfId="24" applyFont="1" applyAlignment="1">
      <alignment vertical="center"/>
      <protection/>
    </xf>
    <xf numFmtId="0" fontId="46" fillId="0" borderId="0" xfId="24" applyAlignment="1">
      <alignment vertical="center"/>
      <protection/>
    </xf>
    <xf numFmtId="0" fontId="51" fillId="0" borderId="0" xfId="24" applyFont="1" applyAlignment="1">
      <alignment horizontal="left" vertical="center" wrapText="1"/>
      <protection/>
    </xf>
    <xf numFmtId="0" fontId="51" fillId="0" borderId="0" xfId="24" applyFont="1" applyAlignment="1">
      <alignment horizontal="left" vertical="center"/>
      <protection/>
    </xf>
    <xf numFmtId="0" fontId="9" fillId="7" borderId="0" xfId="24" applyFont="1" applyFill="1" applyAlignment="1" applyProtection="1">
      <alignment horizontal="left" vertical="center"/>
      <protection locked="0"/>
    </xf>
    <xf numFmtId="0" fontId="46" fillId="0" borderId="0" xfId="24" applyFont="1" applyAlignment="1">
      <alignment horizontal="left" vertical="center" wrapText="1"/>
      <protection/>
    </xf>
    <xf numFmtId="0" fontId="86" fillId="0" borderId="0" xfId="24" applyFont="1" applyAlignment="1">
      <alignment horizontal="center" vertical="center" wrapText="1"/>
      <protection/>
    </xf>
    <xf numFmtId="0" fontId="87" fillId="0" borderId="59" xfId="24" applyFont="1" applyBorder="1" applyAlignment="1">
      <alignment horizontal="left" wrapText="1"/>
      <protection/>
    </xf>
    <xf numFmtId="0" fontId="86" fillId="0" borderId="0" xfId="24" applyFont="1" applyAlignment="1">
      <alignment horizontal="center" vertical="center"/>
      <protection/>
    </xf>
    <xf numFmtId="49" fontId="46" fillId="0" borderId="0" xfId="24" applyNumberFormat="1" applyFont="1" applyAlignment="1">
      <alignment horizontal="left" vertical="center" wrapText="1"/>
      <protection/>
    </xf>
    <xf numFmtId="0" fontId="46" fillId="0" borderId="0" xfId="24" applyFont="1" applyAlignment="1">
      <alignment horizontal="left" vertical="top"/>
      <protection/>
    </xf>
    <xf numFmtId="0" fontId="87" fillId="0" borderId="59" xfId="24" applyFont="1" applyBorder="1" applyAlignment="1">
      <alignment horizontal="left"/>
      <protection/>
    </xf>
    <xf numFmtId="0" fontId="46" fillId="0" borderId="0" xfId="24" applyFont="1" applyAlignment="1">
      <alignment horizontal="left" vertical="center"/>
      <protection/>
    </xf>
    <xf numFmtId="0" fontId="34" fillId="0" borderId="0" xfId="26" applyNumberFormat="1" applyFont="1" applyFill="1" applyBorder="1" applyAlignment="1" applyProtection="1">
      <alignment horizontal="center" vertical="center" wrapText="1"/>
      <protection/>
    </xf>
    <xf numFmtId="0" fontId="34" fillId="0" borderId="0" xfId="26" applyNumberFormat="1" applyFont="1" applyFill="1" applyBorder="1" applyAlignment="1" applyProtection="1">
      <alignment horizontal="center" vertical="center"/>
      <protection/>
    </xf>
    <xf numFmtId="0" fontId="36" fillId="0" borderId="40" xfId="26" applyNumberFormat="1" applyFont="1" applyFill="1" applyBorder="1" applyAlignment="1" applyProtection="1">
      <alignment horizontal="left" vertical="center" wrapText="1"/>
      <protection/>
    </xf>
    <xf numFmtId="0" fontId="36" fillId="0" borderId="41" xfId="26" applyNumberFormat="1" applyFont="1" applyFill="1" applyBorder="1" applyAlignment="1" applyProtection="1">
      <alignment horizontal="left" vertical="center"/>
      <protection/>
    </xf>
    <xf numFmtId="0" fontId="36" fillId="0" borderId="23" xfId="26" applyNumberFormat="1" applyFont="1" applyFill="1" applyBorder="1" applyAlignment="1" applyProtection="1">
      <alignment horizontal="left" vertical="center"/>
      <protection/>
    </xf>
    <xf numFmtId="0" fontId="36" fillId="0" borderId="0" xfId="26" applyNumberFormat="1" applyFont="1" applyFill="1" applyBorder="1" applyAlignment="1" applyProtection="1">
      <alignment horizontal="left" vertical="center"/>
      <protection/>
    </xf>
    <xf numFmtId="0" fontId="37" fillId="0" borderId="41" xfId="26" applyNumberFormat="1" applyFont="1" applyFill="1" applyBorder="1" applyAlignment="1" applyProtection="1">
      <alignment horizontal="left" vertical="center" wrapText="1"/>
      <protection/>
    </xf>
    <xf numFmtId="0" fontId="37" fillId="0" borderId="41" xfId="26" applyNumberFormat="1" applyFont="1" applyFill="1" applyBorder="1" applyAlignment="1" applyProtection="1">
      <alignment horizontal="left" vertical="center"/>
      <protection/>
    </xf>
    <xf numFmtId="0" fontId="37" fillId="0" borderId="0" xfId="26" applyNumberFormat="1" applyFont="1" applyFill="1" applyBorder="1" applyAlignment="1" applyProtection="1">
      <alignment horizontal="left" vertical="center"/>
      <protection/>
    </xf>
    <xf numFmtId="0" fontId="36" fillId="0" borderId="41" xfId="26" applyNumberFormat="1" applyFont="1" applyFill="1" applyBorder="1" applyAlignment="1" applyProtection="1">
      <alignment horizontal="left" vertical="center" wrapText="1"/>
      <protection/>
    </xf>
    <xf numFmtId="0" fontId="36" fillId="0" borderId="87" xfId="26" applyNumberFormat="1" applyFont="1" applyFill="1" applyBorder="1" applyAlignment="1" applyProtection="1">
      <alignment horizontal="left" vertical="center"/>
      <protection/>
    </xf>
    <xf numFmtId="0" fontId="36" fillId="0" borderId="29" xfId="26" applyNumberFormat="1" applyFont="1" applyFill="1" applyBorder="1" applyAlignment="1" applyProtection="1">
      <alignment horizontal="left" vertical="center"/>
      <protection/>
    </xf>
    <xf numFmtId="0" fontId="36" fillId="0" borderId="23" xfId="26" applyNumberFormat="1" applyFont="1" applyFill="1" applyBorder="1" applyAlignment="1" applyProtection="1">
      <alignment horizontal="left" vertical="center" wrapText="1"/>
      <protection/>
    </xf>
    <xf numFmtId="0" fontId="36" fillId="0" borderId="0" xfId="26" applyNumberFormat="1" applyFont="1" applyFill="1" applyBorder="1" applyAlignment="1" applyProtection="1">
      <alignment horizontal="left" vertical="center" wrapText="1"/>
      <protection/>
    </xf>
    <xf numFmtId="0" fontId="36" fillId="0" borderId="29" xfId="26" applyNumberFormat="1" applyFont="1" applyFill="1" applyBorder="1" applyAlignment="1" applyProtection="1">
      <alignment horizontal="left" vertical="center" wrapText="1"/>
      <protection/>
    </xf>
    <xf numFmtId="0" fontId="36" fillId="0" borderId="27" xfId="26" applyNumberFormat="1" applyFont="1" applyFill="1" applyBorder="1" applyAlignment="1" applyProtection="1">
      <alignment horizontal="left" vertical="center"/>
      <protection/>
    </xf>
    <xf numFmtId="1" fontId="36" fillId="0" borderId="29" xfId="26" applyNumberFormat="1" applyFont="1" applyFill="1" applyBorder="1" applyAlignment="1" applyProtection="1">
      <alignment horizontal="left" vertical="center"/>
      <protection/>
    </xf>
    <xf numFmtId="0" fontId="36" fillId="0" borderId="38" xfId="26" applyNumberFormat="1" applyFont="1" applyFill="1" applyBorder="1" applyAlignment="1" applyProtection="1">
      <alignment horizontal="left" vertical="center"/>
      <protection/>
    </xf>
    <xf numFmtId="0" fontId="36" fillId="0" borderId="39" xfId="26" applyNumberFormat="1" applyFont="1" applyFill="1" applyBorder="1" applyAlignment="1" applyProtection="1">
      <alignment horizontal="left" vertical="center"/>
      <protection/>
    </xf>
    <xf numFmtId="0" fontId="38" fillId="0" borderId="0" xfId="26" applyNumberFormat="1" applyFont="1" applyFill="1" applyBorder="1" applyAlignment="1" applyProtection="1">
      <alignment horizontal="center" vertical="center"/>
      <protection/>
    </xf>
    <xf numFmtId="0" fontId="40" fillId="0" borderId="85" xfId="26" applyNumberFormat="1" applyFont="1" applyFill="1" applyBorder="1" applyAlignment="1" applyProtection="1">
      <alignment horizontal="left" vertical="center"/>
      <protection/>
    </xf>
    <xf numFmtId="0" fontId="40" fillId="0" borderId="25" xfId="26" applyNumberFormat="1" applyFont="1" applyFill="1" applyBorder="1" applyAlignment="1" applyProtection="1">
      <alignment horizontal="left" vertical="center"/>
      <protection/>
    </xf>
    <xf numFmtId="0" fontId="42" fillId="0" borderId="39" xfId="26" applyNumberFormat="1" applyFont="1" applyFill="1" applyBorder="1" applyAlignment="1" applyProtection="1">
      <alignment horizontal="left" vertical="center"/>
      <protection/>
    </xf>
    <xf numFmtId="0" fontId="42" fillId="0" borderId="27" xfId="26" applyNumberFormat="1" applyFont="1" applyFill="1" applyBorder="1" applyAlignment="1" applyProtection="1">
      <alignment horizontal="left" vertical="center"/>
      <protection/>
    </xf>
    <xf numFmtId="0" fontId="41" fillId="0" borderId="38" xfId="26" applyNumberFormat="1" applyFont="1" applyFill="1" applyBorder="1" applyAlignment="1" applyProtection="1">
      <alignment horizontal="left" vertical="center"/>
      <protection/>
    </xf>
    <xf numFmtId="0" fontId="41" fillId="0" borderId="27" xfId="26" applyNumberFormat="1" applyFont="1" applyFill="1" applyBorder="1" applyAlignment="1" applyProtection="1">
      <alignment horizontal="left" vertical="center"/>
      <protection/>
    </xf>
    <xf numFmtId="0" fontId="41" fillId="5" borderId="38" xfId="26" applyNumberFormat="1" applyFont="1" applyFill="1" applyBorder="1" applyAlignment="1" applyProtection="1">
      <alignment horizontal="left" vertical="center"/>
      <protection/>
    </xf>
    <xf numFmtId="0" fontId="41" fillId="5" borderId="39" xfId="26" applyNumberFormat="1" applyFont="1" applyFill="1" applyBorder="1" applyAlignment="1" applyProtection="1">
      <alignment horizontal="left" vertical="center"/>
      <protection/>
    </xf>
    <xf numFmtId="0" fontId="41" fillId="5" borderId="85" xfId="26" applyNumberFormat="1" applyFont="1" applyFill="1" applyBorder="1" applyAlignment="1" applyProtection="1">
      <alignment horizontal="left" vertical="center"/>
      <protection/>
    </xf>
    <xf numFmtId="0" fontId="41" fillId="0" borderId="23" xfId="26" applyNumberFormat="1" applyFont="1" applyFill="1" applyBorder="1" applyAlignment="1" applyProtection="1">
      <alignment horizontal="left" vertical="center"/>
      <protection/>
    </xf>
    <xf numFmtId="0" fontId="41" fillId="0" borderId="29" xfId="26" applyNumberFormat="1" applyFont="1" applyFill="1" applyBorder="1" applyAlignment="1" applyProtection="1">
      <alignment horizontal="left" vertical="center"/>
      <protection/>
    </xf>
    <xf numFmtId="0" fontId="42" fillId="0" borderId="0" xfId="26" applyNumberFormat="1" applyFont="1" applyFill="1" applyBorder="1" applyAlignment="1" applyProtection="1">
      <alignment horizontal="left" vertical="center"/>
      <protection/>
    </xf>
    <xf numFmtId="0" fontId="42" fillId="0" borderId="29" xfId="26" applyNumberFormat="1" applyFont="1" applyFill="1" applyBorder="1" applyAlignment="1" applyProtection="1">
      <alignment horizontal="left" vertical="center"/>
      <protection/>
    </xf>
    <xf numFmtId="0" fontId="41" fillId="0" borderId="86" xfId="26" applyNumberFormat="1" applyFont="1" applyFill="1" applyBorder="1" applyAlignment="1" applyProtection="1">
      <alignment horizontal="left" vertical="center"/>
      <protection/>
    </xf>
    <xf numFmtId="0" fontId="41" fillId="0" borderId="25" xfId="26" applyNumberFormat="1" applyFont="1" applyFill="1" applyBorder="1" applyAlignment="1" applyProtection="1">
      <alignment horizontal="left" vertical="center"/>
      <protection/>
    </xf>
    <xf numFmtId="0" fontId="41" fillId="0" borderId="85" xfId="26" applyNumberFormat="1" applyFont="1" applyFill="1" applyBorder="1" applyAlignment="1" applyProtection="1">
      <alignment horizontal="left" vertical="center"/>
      <protection/>
    </xf>
    <xf numFmtId="0" fontId="41" fillId="0" borderId="39" xfId="26" applyNumberFormat="1" applyFont="1" applyFill="1" applyBorder="1" applyAlignment="1" applyProtection="1">
      <alignment horizontal="left" vertical="center"/>
      <protection/>
    </xf>
    <xf numFmtId="0" fontId="41" fillId="5" borderId="86" xfId="26" applyNumberFormat="1" applyFont="1" applyFill="1" applyBorder="1" applyAlignment="1" applyProtection="1">
      <alignment horizontal="left" vertical="center"/>
      <protection/>
    </xf>
    <xf numFmtId="0" fontId="42" fillId="0" borderId="83" xfId="26" applyNumberFormat="1" applyFont="1" applyFill="1" applyBorder="1" applyAlignment="1" applyProtection="1">
      <alignment horizontal="left" vertical="center"/>
      <protection/>
    </xf>
    <xf numFmtId="0" fontId="42" fillId="0" borderId="33" xfId="26" applyNumberFormat="1" applyFont="1" applyFill="1" applyBorder="1" applyAlignment="1" applyProtection="1">
      <alignment horizontal="left" vertical="center"/>
      <protection/>
    </xf>
    <xf numFmtId="0" fontId="42" fillId="0" borderId="84" xfId="26" applyNumberFormat="1" applyFont="1" applyFill="1" applyBorder="1" applyAlignment="1" applyProtection="1">
      <alignment horizontal="left" vertical="center"/>
      <protection/>
    </xf>
    <xf numFmtId="0" fontId="42" fillId="0" borderId="80" xfId="26" applyNumberFormat="1" applyFont="1" applyFill="1" applyBorder="1" applyAlignment="1" applyProtection="1">
      <alignment horizontal="left" vertical="center"/>
      <protection/>
    </xf>
    <xf numFmtId="0" fontId="42" fillId="0" borderId="81" xfId="26" applyNumberFormat="1" applyFont="1" applyFill="1" applyBorder="1" applyAlignment="1" applyProtection="1">
      <alignment horizontal="left" vertical="center"/>
      <protection/>
    </xf>
    <xf numFmtId="0" fontId="42" fillId="0" borderId="82" xfId="26" applyNumberFormat="1" applyFont="1" applyFill="1" applyBorder="1" applyAlignment="1" applyProtection="1">
      <alignment horizontal="left" vertical="center"/>
      <protection/>
    </xf>
    <xf numFmtId="0" fontId="42" fillId="0" borderId="35" xfId="26" applyNumberFormat="1" applyFont="1" applyFill="1" applyBorder="1" applyAlignment="1" applyProtection="1">
      <alignment horizontal="left" vertical="center"/>
      <protection/>
    </xf>
    <xf numFmtId="0" fontId="42" fillId="0" borderId="37" xfId="26" applyNumberFormat="1" applyFont="1" applyFill="1" applyBorder="1" applyAlignment="1" applyProtection="1">
      <alignment horizontal="left" vertical="center"/>
      <protection/>
    </xf>
    <xf numFmtId="0" fontId="37" fillId="0" borderId="33" xfId="26" applyNumberFormat="1" applyFont="1" applyFill="1" applyBorder="1" applyAlignment="1" applyProtection="1">
      <alignment horizontal="left" vertical="center"/>
      <protection/>
    </xf>
    <xf numFmtId="0" fontId="37" fillId="0" borderId="32" xfId="26" applyNumberFormat="1" applyFont="1" applyFill="1" applyBorder="1" applyAlignment="1" applyProtection="1">
      <alignment horizontal="left" vertical="center"/>
      <protection/>
    </xf>
    <xf numFmtId="0" fontId="37" fillId="0" borderId="88" xfId="26" applyNumberFormat="1" applyFont="1" applyFill="1" applyBorder="1" applyAlignment="1" applyProtection="1">
      <alignment horizontal="center" vertical="center"/>
      <protection/>
    </xf>
    <xf numFmtId="0" fontId="37" fillId="0" borderId="89" xfId="26" applyNumberFormat="1" applyFont="1" applyFill="1" applyBorder="1" applyAlignment="1" applyProtection="1">
      <alignment horizontal="center" vertical="center"/>
      <protection/>
    </xf>
    <xf numFmtId="0" fontId="37" fillId="0" borderId="90" xfId="26" applyNumberFormat="1" applyFont="1" applyFill="1" applyBorder="1" applyAlignment="1" applyProtection="1">
      <alignment horizontal="center" vertical="center"/>
      <protection/>
    </xf>
    <xf numFmtId="0" fontId="37" fillId="0" borderId="35" xfId="26" applyNumberFormat="1" applyFont="1" applyFill="1" applyBorder="1" applyAlignment="1" applyProtection="1">
      <alignment horizontal="left" vertical="center"/>
      <protection/>
    </xf>
    <xf numFmtId="0" fontId="37" fillId="0" borderId="30" xfId="26" applyNumberFormat="1" applyFont="1" applyFill="1" applyBorder="1" applyAlignment="1" applyProtection="1">
      <alignment horizontal="left" vertical="center"/>
      <protection/>
    </xf>
    <xf numFmtId="0" fontId="37" fillId="6" borderId="0" xfId="26" applyNumberFormat="1" applyFont="1" applyFill="1" applyBorder="1" applyAlignment="1" applyProtection="1">
      <alignment horizontal="left" vertical="center" wrapText="1"/>
      <protection/>
    </xf>
    <xf numFmtId="0" fontId="37" fillId="6" borderId="0" xfId="26" applyNumberFormat="1" applyFont="1" applyFill="1" applyBorder="1" applyAlignment="1" applyProtection="1">
      <alignment horizontal="left" vertical="center"/>
      <protection/>
    </xf>
    <xf numFmtId="0" fontId="37" fillId="5" borderId="0" xfId="26" applyNumberFormat="1" applyFont="1" applyFill="1" applyBorder="1" applyAlignment="1" applyProtection="1">
      <alignment horizontal="left" vertical="center" wrapText="1"/>
      <protection/>
    </xf>
    <xf numFmtId="0" fontId="37" fillId="5" borderId="0" xfId="26" applyNumberFormat="1" applyFont="1" applyFill="1" applyBorder="1" applyAlignment="1" applyProtection="1">
      <alignment horizontal="left" vertical="center"/>
      <protection/>
    </xf>
    <xf numFmtId="0" fontId="44" fillId="0" borderId="0" xfId="26" applyNumberFormat="1" applyFont="1" applyFill="1" applyBorder="1" applyAlignment="1" applyProtection="1">
      <alignment horizontal="left" vertical="center" wrapText="1"/>
      <protection/>
    </xf>
    <xf numFmtId="0" fontId="44" fillId="0" borderId="0" xfId="26" applyNumberFormat="1" applyFont="1" applyFill="1" applyBorder="1" applyAlignment="1" applyProtection="1">
      <alignment horizontal="left" vertical="center"/>
      <protection/>
    </xf>
    <xf numFmtId="0" fontId="44" fillId="0" borderId="29" xfId="26" applyNumberFormat="1" applyFont="1" applyFill="1" applyBorder="1" applyAlignment="1" applyProtection="1">
      <alignment horizontal="left" vertical="center"/>
      <protection/>
    </xf>
    <xf numFmtId="0" fontId="36" fillId="0" borderId="39" xfId="26" applyNumberFormat="1" applyFont="1" applyFill="1" applyBorder="1" applyAlignment="1" applyProtection="1">
      <alignment horizontal="left" vertical="center" wrapText="1"/>
      <protection/>
    </xf>
    <xf numFmtId="0" fontId="27" fillId="2" borderId="91" xfId="0" applyFont="1" applyFill="1" applyBorder="1" applyAlignment="1">
      <alignment horizontal="center" vertical="center"/>
    </xf>
    <xf numFmtId="0" fontId="28" fillId="2" borderId="92" xfId="0" applyFont="1" applyFill="1" applyBorder="1" applyAlignment="1">
      <alignment horizontal="center" vertical="center"/>
    </xf>
    <xf numFmtId="0" fontId="28" fillId="2" borderId="9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specifikace mat.-kanal.přípojky A-H" xfId="21"/>
    <cellStyle name="Normální 2" xfId="22"/>
    <cellStyle name="Normální 3" xfId="23"/>
    <cellStyle name="Normální 4" xfId="24"/>
    <cellStyle name="Hypertextový odkaz 2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09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09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01%20Komunikace%20mlat\Sady%20Karla%20IV_SO01mlat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03%20Mobiliar\Sady%20Karla%20IV_SO03mobiliar_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rlovy%20Vary\!DPS%20Sady%20Karla%20IV\_%20PDF%20tisk%20DSP\03%20ROZPOCTY%20+%20PRILOHY\SO%2002%20Vegeta&#269;n&#237;%20prvky\Sady%20Karla%20IV_VP_slepy_2023_12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%2001A%20Komunikace%20kostky\SO01A_VV_VD00323%20-%20Karlovy%20Vary,%20Sady%20Karla%20I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%2001A%20Komunikace%20kostky\SO01A_VV_Karlovy%20V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ORN"/>
      <sheetName val="Stavební rozpočet"/>
    </sheetNames>
    <sheetDataSet>
      <sheetData sheetId="0"/>
      <sheetData sheetId="1">
        <row r="36">
          <cell r="I36">
            <v>0</v>
          </cell>
        </row>
      </sheetData>
      <sheetData sheetId="2">
        <row r="2">
          <cell r="C2" t="str">
            <v>Karlovy Vary, Sady Karla IV.-revitalizace veřejného prostranství</v>
          </cell>
          <cell r="I2" t="str">
            <v>Statutární město Karlovy Vary</v>
          </cell>
        </row>
        <row r="4">
          <cell r="C4" t="str">
            <v>SO 01 Komunikace a zpevněné plochy-mlat</v>
          </cell>
          <cell r="G4" t="str">
            <v> </v>
          </cell>
          <cell r="I4" t="str">
            <v>Ing. Přemysl Krejčiřík, Ph.D.</v>
          </cell>
        </row>
        <row r="6">
          <cell r="C6" t="str">
            <v>Karlovy Vary</v>
          </cell>
          <cell r="G6" t="str">
            <v> </v>
          </cell>
          <cell r="I6" t="str">
            <v> </v>
          </cell>
        </row>
        <row r="8">
          <cell r="C8" t="str">
            <v> </v>
          </cell>
          <cell r="G8" t="str">
            <v>18.12.2023</v>
          </cell>
          <cell r="I8" t="str">
            <v>Ing. Aneta Dalajková</v>
          </cell>
        </row>
        <row r="14"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</row>
        <row r="16">
          <cell r="Z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</row>
        <row r="18">
          <cell r="Z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</row>
        <row r="22"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Z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9"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</row>
        <row r="32"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</row>
        <row r="35"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</row>
        <row r="39">
          <cell r="Z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</row>
        <row r="41"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5"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Z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</row>
        <row r="48"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</row>
        <row r="50">
          <cell r="Z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</row>
        <row r="53"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</row>
        <row r="55"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</row>
        <row r="60"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</row>
        <row r="62">
          <cell r="Z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</row>
        <row r="64">
          <cell r="Z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Z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Z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</row>
        <row r="68">
          <cell r="Z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Z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Z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</row>
        <row r="73"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Z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</row>
        <row r="77">
          <cell r="Z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</row>
        <row r="79"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Z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</row>
        <row r="83"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</row>
        <row r="85">
          <cell r="Z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Z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Z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</row>
        <row r="91">
          <cell r="Z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</row>
        <row r="97">
          <cell r="Z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</row>
        <row r="99"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Z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</row>
        <row r="102"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</row>
        <row r="104"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</row>
        <row r="106"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</row>
        <row r="108"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ORN"/>
      <sheetName val="Stavební rozpočet"/>
    </sheetNames>
    <sheetDataSet>
      <sheetData sheetId="0"/>
      <sheetData sheetId="1">
        <row r="36">
          <cell r="I36">
            <v>0</v>
          </cell>
        </row>
      </sheetData>
      <sheetData sheetId="2">
        <row r="2">
          <cell r="C2" t="str">
            <v>Karlovy Vary, Sady Karla IV.-revitalizace veřejného prostranství</v>
          </cell>
          <cell r="I2" t="str">
            <v> </v>
          </cell>
        </row>
        <row r="4">
          <cell r="C4" t="str">
            <v>SO04_Mobiliář a drobná architektura</v>
          </cell>
          <cell r="G4" t="str">
            <v> </v>
          </cell>
          <cell r="I4" t="str">
            <v>Ing. Přemysl Krejčiřík, Ph.D.</v>
          </cell>
        </row>
        <row r="6">
          <cell r="C6" t="str">
            <v>Karlovy Vary</v>
          </cell>
          <cell r="G6" t="str">
            <v> </v>
          </cell>
          <cell r="I6" t="str">
            <v> </v>
          </cell>
        </row>
        <row r="8">
          <cell r="C8" t="str">
            <v> </v>
          </cell>
          <cell r="G8" t="str">
            <v>18.12.2023</v>
          </cell>
          <cell r="I8" t="str">
            <v>Ing. Aneta Dalajková</v>
          </cell>
        </row>
        <row r="14">
          <cell r="Z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Z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</row>
        <row r="17">
          <cell r="Z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</row>
        <row r="19">
          <cell r="Z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</row>
        <row r="22">
          <cell r="Z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Z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</row>
        <row r="26">
          <cell r="Z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Z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</row>
        <row r="29">
          <cell r="Z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</row>
        <row r="31"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Z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</row>
        <row r="36">
          <cell r="Z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</row>
        <row r="38">
          <cell r="Z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</row>
        <row r="41">
          <cell r="Z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</row>
        <row r="43"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</row>
        <row r="45">
          <cell r="Z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</row>
        <row r="47">
          <cell r="Z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</row>
        <row r="49">
          <cell r="Z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</row>
        <row r="51">
          <cell r="Z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</row>
        <row r="53">
          <cell r="Z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</row>
        <row r="56">
          <cell r="Z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</row>
        <row r="58">
          <cell r="Z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</row>
        <row r="60">
          <cell r="Z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ORN"/>
      <sheetName val="Stavební rozpočet"/>
    </sheetNames>
    <sheetDataSet>
      <sheetData sheetId="0" refreshError="1"/>
      <sheetData sheetId="1">
        <row r="15">
          <cell r="I15">
            <v>0</v>
          </cell>
        </row>
        <row r="36">
          <cell r="I36">
            <v>0</v>
          </cell>
        </row>
      </sheetData>
      <sheetData sheetId="2">
        <row r="2">
          <cell r="C2" t="str">
            <v>Karlovy Vary, Sady Karla IV.-revitalizace veřejného prostranství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 - Silnice"/>
      <sheetName val="VRN - Vedlejší rozpočtové..."/>
      <sheetName val="Pokyny pro vyplnění"/>
    </sheetNames>
    <sheetDataSet>
      <sheetData sheetId="0">
        <row r="6">
          <cell r="K6" t="str">
            <v>Karlovy Vary, Sady Karla IV – revitalizace veřejného prostranství</v>
          </cell>
        </row>
        <row r="8">
          <cell r="AN8" t="str">
            <v>18. 12. 2023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>
        <row r="32">
          <cell r="J32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93">
          <cell r="P93">
            <v>0</v>
          </cell>
        </row>
      </sheetData>
      <sheetData sheetId="2">
        <row r="32">
          <cell r="J32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</row>
        <row r="90">
          <cell r="P90">
            <v>0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 - Silnice"/>
      <sheetName val="VRN - Vedlejší rozpočtové..."/>
      <sheetName val="Pokyny pro vyplnění"/>
    </sheetNames>
    <sheetDataSet>
      <sheetData sheetId="0">
        <row r="6">
          <cell r="K6" t="str">
            <v>Karlovy Vary, Sady Karla IV – revitalizace veřejného prostranství</v>
          </cell>
        </row>
        <row r="8">
          <cell r="AN8" t="str">
            <v>18. 12. 2023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23" TargetMode="External" /><Relationship Id="rId2" Type="http://schemas.openxmlformats.org/officeDocument/2006/relationships/hyperlink" Target="https://podminky.urs.cz/item/CS_URS_2023_02/113106161" TargetMode="External" /><Relationship Id="rId3" Type="http://schemas.openxmlformats.org/officeDocument/2006/relationships/hyperlink" Target="https://podminky.urs.cz/item/CS_URS_2023_02/113107123" TargetMode="External" /><Relationship Id="rId4" Type="http://schemas.openxmlformats.org/officeDocument/2006/relationships/hyperlink" Target="https://podminky.urs.cz/item/CS_URS_2023_02/113107142" TargetMode="External" /><Relationship Id="rId5" Type="http://schemas.openxmlformats.org/officeDocument/2006/relationships/hyperlink" Target="https://podminky.urs.cz/item/CS_URS_2023_02/113107162" TargetMode="External" /><Relationship Id="rId6" Type="http://schemas.openxmlformats.org/officeDocument/2006/relationships/hyperlink" Target="https://podminky.urs.cz/item/CS_URS_2023_02/113107223" TargetMode="External" /><Relationship Id="rId7" Type="http://schemas.openxmlformats.org/officeDocument/2006/relationships/hyperlink" Target="https://podminky.urs.cz/item/CS_URS_2023_02/113107225" TargetMode="External" /><Relationship Id="rId8" Type="http://schemas.openxmlformats.org/officeDocument/2006/relationships/hyperlink" Target="https://podminky.urs.cz/item/CS_URS_2023_02/113107230" TargetMode="External" /><Relationship Id="rId9" Type="http://schemas.openxmlformats.org/officeDocument/2006/relationships/hyperlink" Target="https://podminky.urs.cz/item/CS_URS_2023_02/113107241" TargetMode="External" /><Relationship Id="rId10" Type="http://schemas.openxmlformats.org/officeDocument/2006/relationships/hyperlink" Target="https://podminky.urs.cz/item/CS_URS_2023_02/113107324" TargetMode="External" /><Relationship Id="rId11" Type="http://schemas.openxmlformats.org/officeDocument/2006/relationships/hyperlink" Target="https://podminky.urs.cz/item/CS_URS_2023_02/113154224" TargetMode="External" /><Relationship Id="rId12" Type="http://schemas.openxmlformats.org/officeDocument/2006/relationships/hyperlink" Target="https://podminky.urs.cz/item/CS_URS_2023_02/113154234" TargetMode="External" /><Relationship Id="rId13" Type="http://schemas.openxmlformats.org/officeDocument/2006/relationships/hyperlink" Target="https://podminky.urs.cz/item/CS_URS_2023_02/113202111" TargetMode="External" /><Relationship Id="rId14" Type="http://schemas.openxmlformats.org/officeDocument/2006/relationships/hyperlink" Target="https://podminky.urs.cz/item/CS_URS_2023_02/113203111" TargetMode="External" /><Relationship Id="rId15" Type="http://schemas.openxmlformats.org/officeDocument/2006/relationships/hyperlink" Target="https://podminky.urs.cz/item/CS_URS_2023_02/122251104" TargetMode="External" /><Relationship Id="rId16" Type="http://schemas.openxmlformats.org/officeDocument/2006/relationships/hyperlink" Target="https://podminky.urs.cz/item/CS_URS_2023_02/131251100" TargetMode="External" /><Relationship Id="rId17" Type="http://schemas.openxmlformats.org/officeDocument/2006/relationships/hyperlink" Target="https://podminky.urs.cz/item/CS_URS_2023_02/132251101" TargetMode="External" /><Relationship Id="rId18" Type="http://schemas.openxmlformats.org/officeDocument/2006/relationships/hyperlink" Target="https://podminky.urs.cz/item/CS_URS_2023_02/162751117" TargetMode="External" /><Relationship Id="rId19" Type="http://schemas.openxmlformats.org/officeDocument/2006/relationships/hyperlink" Target="https://podminky.urs.cz/item/CS_URS_2023_02/162751119" TargetMode="External" /><Relationship Id="rId20" Type="http://schemas.openxmlformats.org/officeDocument/2006/relationships/hyperlink" Target="https://podminky.urs.cz/item/CS_URS_2023_02/171201231" TargetMode="External" /><Relationship Id="rId21" Type="http://schemas.openxmlformats.org/officeDocument/2006/relationships/hyperlink" Target="https://podminky.urs.cz/item/CS_URS_2023_02/171251201" TargetMode="External" /><Relationship Id="rId22" Type="http://schemas.openxmlformats.org/officeDocument/2006/relationships/hyperlink" Target="https://podminky.urs.cz/item/CS_URS_2023_02/174151101" TargetMode="External" /><Relationship Id="rId23" Type="http://schemas.openxmlformats.org/officeDocument/2006/relationships/hyperlink" Target="https://podminky.urs.cz/item/CS_URS_2023_02/181951112" TargetMode="External" /><Relationship Id="rId24" Type="http://schemas.openxmlformats.org/officeDocument/2006/relationships/hyperlink" Target="https://podminky.urs.cz/item/CS_URS_2023_02/211561111" TargetMode="External" /><Relationship Id="rId25" Type="http://schemas.openxmlformats.org/officeDocument/2006/relationships/hyperlink" Target="https://podminky.urs.cz/item/CS_URS_2023_02/211971121" TargetMode="External" /><Relationship Id="rId26" Type="http://schemas.openxmlformats.org/officeDocument/2006/relationships/hyperlink" Target="https://podminky.urs.cz/item/CS_URS_2023_02/212752401" TargetMode="External" /><Relationship Id="rId27" Type="http://schemas.openxmlformats.org/officeDocument/2006/relationships/hyperlink" Target="https://podminky.urs.cz/item/CS_URS_2023_02/213141112" TargetMode="External" /><Relationship Id="rId28" Type="http://schemas.openxmlformats.org/officeDocument/2006/relationships/hyperlink" Target="https://podminky.urs.cz/item/CS_URS_2023_02/564851111" TargetMode="External" /><Relationship Id="rId29" Type="http://schemas.openxmlformats.org/officeDocument/2006/relationships/hyperlink" Target="https://podminky.urs.cz/item/CS_URS_2023_02/564861111" TargetMode="External" /><Relationship Id="rId30" Type="http://schemas.openxmlformats.org/officeDocument/2006/relationships/hyperlink" Target="https://podminky.urs.cz/item/CS_URS_2023_02/564871116" TargetMode="External" /><Relationship Id="rId31" Type="http://schemas.openxmlformats.org/officeDocument/2006/relationships/hyperlink" Target="https://podminky.urs.cz/item/CS_URS_2023_02/567132115" TargetMode="External" /><Relationship Id="rId32" Type="http://schemas.openxmlformats.org/officeDocument/2006/relationships/hyperlink" Target="https://podminky.urs.cz/item/CS_URS_2023_02/567142111" TargetMode="External" /><Relationship Id="rId33" Type="http://schemas.openxmlformats.org/officeDocument/2006/relationships/hyperlink" Target="https://podminky.urs.cz/item/CS_URS_2023_02/573231106" TargetMode="External" /><Relationship Id="rId34" Type="http://schemas.openxmlformats.org/officeDocument/2006/relationships/hyperlink" Target="https://podminky.urs.cz/item/CS_URS_2023_02/573231108" TargetMode="External" /><Relationship Id="rId35" Type="http://schemas.openxmlformats.org/officeDocument/2006/relationships/hyperlink" Target="https://podminky.urs.cz/item/CS_URS_2023_02/591211111.1" TargetMode="External" /><Relationship Id="rId36" Type="http://schemas.openxmlformats.org/officeDocument/2006/relationships/hyperlink" Target="https://podminky.urs.cz/item/CS_URS_2023_02/591211111.2" TargetMode="External" /><Relationship Id="rId37" Type="http://schemas.openxmlformats.org/officeDocument/2006/relationships/hyperlink" Target="https://podminky.urs.cz/item/CS_URS_2023_02/899203211" TargetMode="External" /><Relationship Id="rId38" Type="http://schemas.openxmlformats.org/officeDocument/2006/relationships/hyperlink" Target="https://podminky.urs.cz/item/CS_URS_2023_02/899204112" TargetMode="External" /><Relationship Id="rId39" Type="http://schemas.openxmlformats.org/officeDocument/2006/relationships/hyperlink" Target="https://podminky.urs.cz/item/CS_URS_2023_02/914111111" TargetMode="External" /><Relationship Id="rId40" Type="http://schemas.openxmlformats.org/officeDocument/2006/relationships/hyperlink" Target="https://podminky.urs.cz/item/CS_URS_2023_02/914111121" TargetMode="External" /><Relationship Id="rId41" Type="http://schemas.openxmlformats.org/officeDocument/2006/relationships/hyperlink" Target="https://podminky.urs.cz/item/CS_URS_2023_02/914511112" TargetMode="External" /><Relationship Id="rId42" Type="http://schemas.openxmlformats.org/officeDocument/2006/relationships/hyperlink" Target="https://podminky.urs.cz/item/CS_URS_2023_02/915211112" TargetMode="External" /><Relationship Id="rId43" Type="http://schemas.openxmlformats.org/officeDocument/2006/relationships/hyperlink" Target="https://podminky.urs.cz/item/CS_URS_2023_02/915231112" TargetMode="External" /><Relationship Id="rId44" Type="http://schemas.openxmlformats.org/officeDocument/2006/relationships/hyperlink" Target="https://podminky.urs.cz/item/CS_URS_2023_02/915611111" TargetMode="External" /><Relationship Id="rId45" Type="http://schemas.openxmlformats.org/officeDocument/2006/relationships/hyperlink" Target="https://podminky.urs.cz/item/CS_URS_2023_02/915621111" TargetMode="External" /><Relationship Id="rId46" Type="http://schemas.openxmlformats.org/officeDocument/2006/relationships/hyperlink" Target="https://podminky.urs.cz/item/CS_URS_2023_02/916241213" TargetMode="External" /><Relationship Id="rId47" Type="http://schemas.openxmlformats.org/officeDocument/2006/relationships/hyperlink" Target="https://podminky.urs.cz/item/CS_URS_2023_02/919732211" TargetMode="External" /><Relationship Id="rId48" Type="http://schemas.openxmlformats.org/officeDocument/2006/relationships/hyperlink" Target="https://podminky.urs.cz/item/CS_URS_2023_02/919735112" TargetMode="External" /><Relationship Id="rId49" Type="http://schemas.openxmlformats.org/officeDocument/2006/relationships/hyperlink" Target="https://podminky.urs.cz/item/CS_URS_2023_02/966006132" TargetMode="External" /><Relationship Id="rId50" Type="http://schemas.openxmlformats.org/officeDocument/2006/relationships/hyperlink" Target="https://podminky.urs.cz/item/CS_URS_2023_02/966006211" TargetMode="External" /><Relationship Id="rId51" Type="http://schemas.openxmlformats.org/officeDocument/2006/relationships/hyperlink" Target="https://podminky.urs.cz/item/CS_URS_2023_02/997013861" TargetMode="External" /><Relationship Id="rId52" Type="http://schemas.openxmlformats.org/officeDocument/2006/relationships/hyperlink" Target="https://podminky.urs.cz/item/CS_URS_2023_02/997013873" TargetMode="External" /><Relationship Id="rId53" Type="http://schemas.openxmlformats.org/officeDocument/2006/relationships/hyperlink" Target="https://podminky.urs.cz/item/CS_URS_2023_02/997013875" TargetMode="External" /><Relationship Id="rId54" Type="http://schemas.openxmlformats.org/officeDocument/2006/relationships/hyperlink" Target="https://podminky.urs.cz/item/CS_URS_2023_02/997211511" TargetMode="External" /><Relationship Id="rId55" Type="http://schemas.openxmlformats.org/officeDocument/2006/relationships/hyperlink" Target="https://podminky.urs.cz/item/CS_URS_2023_02/997211519" TargetMode="External" /><Relationship Id="rId56" Type="http://schemas.openxmlformats.org/officeDocument/2006/relationships/hyperlink" Target="https://podminky.urs.cz/item/CS_URS_2023_02/998223011" TargetMode="External" /><Relationship Id="rId57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900B-A376-4720-8DF6-3A4A1FE71505}">
  <dimension ref="A1:B30"/>
  <sheetViews>
    <sheetView workbookViewId="0" topLeftCell="A1">
      <selection activeCell="F29" sqref="F29"/>
    </sheetView>
  </sheetViews>
  <sheetFormatPr defaultColWidth="9.140625" defaultRowHeight="15"/>
  <cols>
    <col min="1" max="1" width="42.7109375" style="0" customWidth="1"/>
    <col min="2" max="2" width="75.28125" style="0" customWidth="1"/>
  </cols>
  <sheetData>
    <row r="1" spans="1:2" ht="15.75">
      <c r="A1" s="1" t="s">
        <v>0</v>
      </c>
      <c r="B1" s="2"/>
    </row>
    <row r="2" spans="1:2" ht="15">
      <c r="A2" s="3" t="s">
        <v>1</v>
      </c>
      <c r="B2" s="4" t="s">
        <v>5</v>
      </c>
    </row>
    <row r="3" spans="1:2" ht="15">
      <c r="A3" s="3" t="s">
        <v>2</v>
      </c>
      <c r="B3" s="2" t="s">
        <v>6</v>
      </c>
    </row>
    <row r="4" spans="1:2" ht="15">
      <c r="A4" s="3" t="s">
        <v>3</v>
      </c>
      <c r="B4" s="4" t="s">
        <v>7</v>
      </c>
    </row>
    <row r="5" spans="1:2" ht="15">
      <c r="A5" s="3" t="s">
        <v>4</v>
      </c>
      <c r="B5" s="5" t="s">
        <v>8</v>
      </c>
    </row>
    <row r="6" ht="15.75" thickBot="1"/>
    <row r="7" spans="1:2" ht="18.75" thickBot="1">
      <c r="A7" s="514" t="s">
        <v>16</v>
      </c>
      <c r="B7" s="515"/>
    </row>
    <row r="8" spans="1:2" ht="15.75">
      <c r="A8" s="516" t="s">
        <v>11</v>
      </c>
      <c r="B8" s="517"/>
    </row>
    <row r="9" spans="1:2" ht="15">
      <c r="A9" s="6" t="s">
        <v>9</v>
      </c>
      <c r="B9" s="510">
        <v>0</v>
      </c>
    </row>
    <row r="10" spans="1:2" ht="15">
      <c r="A10" s="7" t="s">
        <v>15</v>
      </c>
      <c r="B10" s="510">
        <v>0</v>
      </c>
    </row>
    <row r="11" spans="1:2" ht="15">
      <c r="A11" s="8" t="s">
        <v>10</v>
      </c>
      <c r="B11" s="510">
        <v>0</v>
      </c>
    </row>
    <row r="12" spans="1:2" ht="15.75">
      <c r="A12" s="518" t="s">
        <v>12</v>
      </c>
      <c r="B12" s="519"/>
    </row>
    <row r="13" spans="1:2" ht="15">
      <c r="A13" s="6" t="s">
        <v>9</v>
      </c>
      <c r="B13" s="510">
        <v>0</v>
      </c>
    </row>
    <row r="14" spans="1:2" ht="15">
      <c r="A14" s="7" t="s">
        <v>15</v>
      </c>
      <c r="B14" s="510">
        <v>0</v>
      </c>
    </row>
    <row r="15" spans="1:2" ht="15.75" thickBot="1">
      <c r="A15" s="8" t="s">
        <v>10</v>
      </c>
      <c r="B15" s="510">
        <v>0</v>
      </c>
    </row>
    <row r="16" spans="1:2" ht="15.75">
      <c r="A16" s="512" t="s">
        <v>1245</v>
      </c>
      <c r="B16" s="513"/>
    </row>
    <row r="17" spans="1:2" ht="15">
      <c r="A17" s="6" t="s">
        <v>9</v>
      </c>
      <c r="B17" s="510">
        <v>0</v>
      </c>
    </row>
    <row r="18" spans="1:2" ht="15">
      <c r="A18" s="7" t="s">
        <v>15</v>
      </c>
      <c r="B18" s="510">
        <v>0</v>
      </c>
    </row>
    <row r="19" spans="1:2" ht="15.75" thickBot="1">
      <c r="A19" s="8" t="s">
        <v>10</v>
      </c>
      <c r="B19" s="510">
        <v>0</v>
      </c>
    </row>
    <row r="20" spans="1:2" ht="15.75">
      <c r="A20" s="512" t="s">
        <v>13</v>
      </c>
      <c r="B20" s="513"/>
    </row>
    <row r="21" spans="1:2" ht="15">
      <c r="A21" s="6" t="s">
        <v>9</v>
      </c>
      <c r="B21" s="510">
        <v>0</v>
      </c>
    </row>
    <row r="22" spans="1:2" ht="15">
      <c r="A22" s="7" t="s">
        <v>15</v>
      </c>
      <c r="B22" s="510">
        <v>0</v>
      </c>
    </row>
    <row r="23" spans="1:2" ht="15.75" thickBot="1">
      <c r="A23" s="8" t="s">
        <v>10</v>
      </c>
      <c r="B23" s="510">
        <v>0</v>
      </c>
    </row>
    <row r="24" spans="1:2" ht="15.75">
      <c r="A24" s="512" t="s">
        <v>14</v>
      </c>
      <c r="B24" s="513"/>
    </row>
    <row r="25" spans="1:2" ht="15">
      <c r="A25" s="6" t="s">
        <v>9</v>
      </c>
      <c r="B25" s="510">
        <v>0</v>
      </c>
    </row>
    <row r="26" spans="1:2" ht="15">
      <c r="A26" s="7" t="s">
        <v>15</v>
      </c>
      <c r="B26" s="510">
        <v>0</v>
      </c>
    </row>
    <row r="27" spans="1:2" ht="15">
      <c r="A27" s="8" t="s">
        <v>10</v>
      </c>
      <c r="B27" s="510">
        <v>0</v>
      </c>
    </row>
    <row r="29" spans="1:2" ht="15.75">
      <c r="A29" s="134" t="s">
        <v>402</v>
      </c>
      <c r="B29" s="511">
        <f>B9+B13+B17+B21+B25</f>
        <v>0</v>
      </c>
    </row>
    <row r="30" spans="1:2" ht="15.75">
      <c r="A30" s="135" t="s">
        <v>10</v>
      </c>
      <c r="B30" s="511">
        <f>B11+B15+B19+B23+B27</f>
        <v>0</v>
      </c>
    </row>
  </sheetData>
  <mergeCells count="6">
    <mergeCell ref="A24:B24"/>
    <mergeCell ref="A7:B7"/>
    <mergeCell ref="A8:B8"/>
    <mergeCell ref="A12:B12"/>
    <mergeCell ref="A20:B20"/>
    <mergeCell ref="A16:B16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2B6F-E0F6-4C3F-B3B7-8BE394099AAD}">
  <dimension ref="A1:F49"/>
  <sheetViews>
    <sheetView workbookViewId="0" topLeftCell="A30">
      <selection activeCell="A49" sqref="A49"/>
    </sheetView>
  </sheetViews>
  <sheetFormatPr defaultColWidth="8.7109375" defaultRowHeight="15"/>
  <cols>
    <col min="1" max="1" width="76.140625" style="93" customWidth="1"/>
    <col min="2" max="2" width="13.57421875" style="132" customWidth="1"/>
    <col min="3" max="3" width="13.57421875" style="133" customWidth="1"/>
    <col min="4" max="4" width="10.28125" style="93" bestFit="1" customWidth="1"/>
    <col min="5" max="5" width="17.7109375" style="93" customWidth="1"/>
    <col min="6" max="16384" width="8.7109375" style="93" customWidth="1"/>
  </cols>
  <sheetData>
    <row r="1" spans="1:5" ht="40.15" customHeight="1" thickBot="1">
      <c r="A1" s="697" t="s">
        <v>134</v>
      </c>
      <c r="B1" s="698"/>
      <c r="C1" s="698"/>
      <c r="D1" s="698"/>
      <c r="E1" s="699"/>
    </row>
    <row r="2" spans="1:5" ht="18" customHeight="1" thickBot="1">
      <c r="A2" s="94" t="s">
        <v>135</v>
      </c>
      <c r="B2" s="95"/>
      <c r="C2" s="95"/>
      <c r="D2" s="95"/>
      <c r="E2" s="96"/>
    </row>
    <row r="3" spans="1:5" ht="15">
      <c r="A3" s="384" t="s">
        <v>136</v>
      </c>
      <c r="B3" s="385" t="s">
        <v>137</v>
      </c>
      <c r="C3" s="385" t="s">
        <v>138</v>
      </c>
      <c r="D3" s="386" t="s">
        <v>139</v>
      </c>
      <c r="E3" s="387" t="s">
        <v>140</v>
      </c>
    </row>
    <row r="4" spans="1:5" ht="22.9" customHeight="1">
      <c r="A4" s="97" t="s">
        <v>141</v>
      </c>
      <c r="B4" s="98"/>
      <c r="C4" s="98"/>
      <c r="D4" s="99"/>
      <c r="E4" s="100">
        <f>SUM(E5:E19)</f>
        <v>0</v>
      </c>
    </row>
    <row r="5" spans="1:5" ht="21.6" customHeight="1">
      <c r="A5" s="101" t="s">
        <v>142</v>
      </c>
      <c r="B5" s="102" t="s">
        <v>51</v>
      </c>
      <c r="C5" s="83">
        <v>6</v>
      </c>
      <c r="D5" s="103"/>
      <c r="E5" s="104">
        <f>D5*C5</f>
        <v>0</v>
      </c>
    </row>
    <row r="6" spans="1:5" ht="21.6" customHeight="1">
      <c r="A6" s="101" t="s">
        <v>1232</v>
      </c>
      <c r="B6" s="102" t="s">
        <v>51</v>
      </c>
      <c r="C6" s="83">
        <v>6</v>
      </c>
      <c r="D6" s="103"/>
      <c r="E6" s="104">
        <f>D6*C6</f>
        <v>0</v>
      </c>
    </row>
    <row r="7" spans="1:5" ht="21.6" customHeight="1">
      <c r="A7" s="101" t="s">
        <v>143</v>
      </c>
      <c r="B7" s="102" t="s">
        <v>51</v>
      </c>
      <c r="C7" s="83">
        <v>3</v>
      </c>
      <c r="D7" s="103"/>
      <c r="E7" s="104">
        <f>D7*C7</f>
        <v>0</v>
      </c>
    </row>
    <row r="8" spans="1:5" ht="43.9" customHeight="1">
      <c r="A8" s="105" t="s">
        <v>1233</v>
      </c>
      <c r="B8" s="102" t="s">
        <v>51</v>
      </c>
      <c r="C8" s="83">
        <v>7</v>
      </c>
      <c r="D8" s="103"/>
      <c r="E8" s="104">
        <f aca="true" t="shared" si="0" ref="E8:E41">D8*C8</f>
        <v>0</v>
      </c>
    </row>
    <row r="9" spans="1:5" ht="22.15" customHeight="1">
      <c r="A9" s="101" t="s">
        <v>144</v>
      </c>
      <c r="B9" s="102" t="s">
        <v>51</v>
      </c>
      <c r="C9" s="83">
        <v>7</v>
      </c>
      <c r="D9" s="103"/>
      <c r="E9" s="104">
        <f t="shared" si="0"/>
        <v>0</v>
      </c>
    </row>
    <row r="10" spans="1:5" ht="22.15" customHeight="1">
      <c r="A10" s="101" t="s">
        <v>145</v>
      </c>
      <c r="B10" s="102" t="s">
        <v>51</v>
      </c>
      <c r="C10" s="83">
        <v>7</v>
      </c>
      <c r="D10" s="103"/>
      <c r="E10" s="104">
        <f t="shared" si="0"/>
        <v>0</v>
      </c>
    </row>
    <row r="11" spans="1:5" ht="36.6" customHeight="1">
      <c r="A11" s="105" t="s">
        <v>1234</v>
      </c>
      <c r="B11" s="102" t="s">
        <v>51</v>
      </c>
      <c r="C11" s="83">
        <v>1</v>
      </c>
      <c r="D11" s="103"/>
      <c r="E11" s="104">
        <f t="shared" si="0"/>
        <v>0</v>
      </c>
    </row>
    <row r="12" spans="1:5" ht="21.6" customHeight="1">
      <c r="A12" s="101" t="s">
        <v>146</v>
      </c>
      <c r="B12" s="102" t="s">
        <v>51</v>
      </c>
      <c r="C12" s="83">
        <v>1</v>
      </c>
      <c r="D12" s="103"/>
      <c r="E12" s="104">
        <f t="shared" si="0"/>
        <v>0</v>
      </c>
    </row>
    <row r="13" spans="1:5" ht="30.6" customHeight="1">
      <c r="A13" s="388" t="s">
        <v>1235</v>
      </c>
      <c r="B13" s="102" t="s">
        <v>51</v>
      </c>
      <c r="C13" s="83">
        <v>13</v>
      </c>
      <c r="D13" s="103"/>
      <c r="E13" s="104">
        <f t="shared" si="0"/>
        <v>0</v>
      </c>
    </row>
    <row r="14" spans="1:5" ht="21.6" customHeight="1">
      <c r="A14" s="101" t="s">
        <v>147</v>
      </c>
      <c r="B14" s="102" t="s">
        <v>51</v>
      </c>
      <c r="C14" s="83">
        <v>13</v>
      </c>
      <c r="D14" s="103"/>
      <c r="E14" s="104">
        <f t="shared" si="0"/>
        <v>0</v>
      </c>
    </row>
    <row r="15" spans="1:6" ht="21.6" customHeight="1">
      <c r="A15" s="101" t="s">
        <v>148</v>
      </c>
      <c r="B15" s="102" t="s">
        <v>51</v>
      </c>
      <c r="C15" s="83">
        <v>2</v>
      </c>
      <c r="D15" s="103"/>
      <c r="E15" s="104">
        <f t="shared" si="0"/>
        <v>0</v>
      </c>
      <c r="F15" s="106"/>
    </row>
    <row r="16" spans="1:5" ht="21.6" customHeight="1">
      <c r="A16" s="101" t="s">
        <v>149</v>
      </c>
      <c r="B16" s="102" t="s">
        <v>51</v>
      </c>
      <c r="C16" s="83">
        <v>2</v>
      </c>
      <c r="D16" s="103"/>
      <c r="E16" s="104">
        <f t="shared" si="0"/>
        <v>0</v>
      </c>
    </row>
    <row r="17" spans="1:5" ht="21.6" customHeight="1">
      <c r="A17" s="101" t="s">
        <v>1236</v>
      </c>
      <c r="B17" s="102" t="s">
        <v>51</v>
      </c>
      <c r="C17" s="83">
        <v>8</v>
      </c>
      <c r="D17" s="103"/>
      <c r="E17" s="104">
        <f t="shared" si="0"/>
        <v>0</v>
      </c>
    </row>
    <row r="18" spans="1:5" ht="21.6" customHeight="1">
      <c r="A18" s="107" t="s">
        <v>150</v>
      </c>
      <c r="B18" s="102" t="s">
        <v>51</v>
      </c>
      <c r="C18" s="102">
        <f>C8+C11+C13+C15</f>
        <v>23</v>
      </c>
      <c r="D18" s="103"/>
      <c r="E18" s="104">
        <f t="shared" si="0"/>
        <v>0</v>
      </c>
    </row>
    <row r="19" spans="1:5" ht="21.6" customHeight="1">
      <c r="A19" s="107" t="s">
        <v>151</v>
      </c>
      <c r="B19" s="102" t="s">
        <v>51</v>
      </c>
      <c r="C19" s="102">
        <f>C11+C8+C5</f>
        <v>14</v>
      </c>
      <c r="D19" s="103"/>
      <c r="E19" s="104">
        <f t="shared" si="0"/>
        <v>0</v>
      </c>
    </row>
    <row r="20" spans="1:5" ht="21.6" customHeight="1">
      <c r="A20" s="97" t="s">
        <v>152</v>
      </c>
      <c r="B20" s="98"/>
      <c r="C20" s="98"/>
      <c r="D20" s="108"/>
      <c r="E20" s="100">
        <f>SUM(E21:E32)</f>
        <v>0</v>
      </c>
    </row>
    <row r="21" spans="1:5" ht="21.6" customHeight="1">
      <c r="A21" s="109" t="s">
        <v>153</v>
      </c>
      <c r="B21" s="110" t="s">
        <v>35</v>
      </c>
      <c r="C21" s="110">
        <v>30</v>
      </c>
      <c r="D21" s="111"/>
      <c r="E21" s="112">
        <f>D21*C21</f>
        <v>0</v>
      </c>
    </row>
    <row r="22" spans="1:5" ht="21.6" customHeight="1">
      <c r="A22" s="109" t="s">
        <v>154</v>
      </c>
      <c r="B22" s="110" t="s">
        <v>35</v>
      </c>
      <c r="C22" s="110">
        <v>120</v>
      </c>
      <c r="D22" s="111"/>
      <c r="E22" s="112">
        <f>D22*C22</f>
        <v>0</v>
      </c>
    </row>
    <row r="23" spans="1:5" ht="21.6" customHeight="1">
      <c r="A23" s="107" t="s">
        <v>155</v>
      </c>
      <c r="B23" s="102" t="s">
        <v>35</v>
      </c>
      <c r="C23" s="102">
        <v>150</v>
      </c>
      <c r="D23" s="103"/>
      <c r="E23" s="104">
        <f t="shared" si="0"/>
        <v>0</v>
      </c>
    </row>
    <row r="24" spans="1:5" ht="21.6" customHeight="1">
      <c r="A24" s="107" t="s">
        <v>156</v>
      </c>
      <c r="B24" s="102" t="s">
        <v>35</v>
      </c>
      <c r="C24" s="102">
        <f>C23+C22+C21</f>
        <v>300</v>
      </c>
      <c r="D24" s="103"/>
      <c r="E24" s="104">
        <f t="shared" si="0"/>
        <v>0</v>
      </c>
    </row>
    <row r="25" spans="1:5" ht="21.6" customHeight="1">
      <c r="A25" s="107" t="s">
        <v>157</v>
      </c>
      <c r="B25" s="102" t="s">
        <v>35</v>
      </c>
      <c r="C25" s="102">
        <f>C22+C21</f>
        <v>150</v>
      </c>
      <c r="D25" s="103"/>
      <c r="E25" s="104">
        <f t="shared" si="0"/>
        <v>0</v>
      </c>
    </row>
    <row r="26" spans="1:5" ht="21.6" customHeight="1">
      <c r="A26" s="107" t="s">
        <v>158</v>
      </c>
      <c r="B26" s="102" t="s">
        <v>159</v>
      </c>
      <c r="C26" s="102">
        <v>1</v>
      </c>
      <c r="D26" s="103"/>
      <c r="E26" s="104">
        <f t="shared" si="0"/>
        <v>0</v>
      </c>
    </row>
    <row r="27" spans="1:5" ht="21.6" customHeight="1">
      <c r="A27" s="107" t="s">
        <v>160</v>
      </c>
      <c r="B27" s="102" t="s">
        <v>159</v>
      </c>
      <c r="C27" s="102">
        <v>1</v>
      </c>
      <c r="D27" s="103"/>
      <c r="E27" s="104">
        <f t="shared" si="0"/>
        <v>0</v>
      </c>
    </row>
    <row r="28" spans="1:5" ht="21.6" customHeight="1">
      <c r="A28" s="107" t="s">
        <v>161</v>
      </c>
      <c r="B28" s="102" t="s">
        <v>51</v>
      </c>
      <c r="C28" s="102">
        <v>19</v>
      </c>
      <c r="D28" s="103"/>
      <c r="E28" s="104">
        <f t="shared" si="0"/>
        <v>0</v>
      </c>
    </row>
    <row r="29" spans="1:5" ht="34.15" customHeight="1">
      <c r="A29" s="113" t="s">
        <v>162</v>
      </c>
      <c r="B29" s="102" t="s">
        <v>51</v>
      </c>
      <c r="C29" s="102">
        <v>2</v>
      </c>
      <c r="D29" s="103"/>
      <c r="E29" s="104">
        <f t="shared" si="0"/>
        <v>0</v>
      </c>
    </row>
    <row r="30" spans="1:5" ht="19.9" customHeight="1">
      <c r="A30" s="113" t="s">
        <v>163</v>
      </c>
      <c r="B30" s="102" t="s">
        <v>51</v>
      </c>
      <c r="C30" s="102">
        <v>12</v>
      </c>
      <c r="D30" s="103"/>
      <c r="E30" s="104">
        <f t="shared" si="0"/>
        <v>0</v>
      </c>
    </row>
    <row r="31" spans="1:5" ht="21.6" customHeight="1">
      <c r="A31" s="107" t="s">
        <v>164</v>
      </c>
      <c r="B31" s="102" t="s">
        <v>51</v>
      </c>
      <c r="C31" s="102">
        <v>22</v>
      </c>
      <c r="D31" s="103"/>
      <c r="E31" s="104">
        <f t="shared" si="0"/>
        <v>0</v>
      </c>
    </row>
    <row r="32" spans="1:5" ht="21.6" customHeight="1">
      <c r="A32" s="107" t="s">
        <v>165</v>
      </c>
      <c r="B32" s="102" t="s">
        <v>51</v>
      </c>
      <c r="C32" s="102">
        <v>2</v>
      </c>
      <c r="D32" s="103"/>
      <c r="E32" s="104">
        <f t="shared" si="0"/>
        <v>0</v>
      </c>
    </row>
    <row r="33" spans="1:5" ht="21.6" customHeight="1">
      <c r="A33" s="97" t="s">
        <v>166</v>
      </c>
      <c r="B33" s="98"/>
      <c r="C33" s="98"/>
      <c r="D33" s="108"/>
      <c r="E33" s="100">
        <f>SUM(E34:E41)</f>
        <v>0</v>
      </c>
    </row>
    <row r="34" spans="1:5" ht="22.9" customHeight="1">
      <c r="A34" s="113" t="s">
        <v>167</v>
      </c>
      <c r="B34" s="102" t="s">
        <v>159</v>
      </c>
      <c r="C34" s="102">
        <v>1</v>
      </c>
      <c r="D34" s="103"/>
      <c r="E34" s="104">
        <f t="shared" si="0"/>
        <v>0</v>
      </c>
    </row>
    <row r="35" spans="1:5" ht="20.45" customHeight="1">
      <c r="A35" s="107" t="s">
        <v>168</v>
      </c>
      <c r="B35" s="102" t="s">
        <v>35</v>
      </c>
      <c r="C35" s="102">
        <v>300</v>
      </c>
      <c r="D35" s="103"/>
      <c r="E35" s="104">
        <f t="shared" si="0"/>
        <v>0</v>
      </c>
    </row>
    <row r="36" spans="1:5" ht="21.6" customHeight="1">
      <c r="A36" s="113" t="s">
        <v>169</v>
      </c>
      <c r="B36" s="102" t="s">
        <v>159</v>
      </c>
      <c r="C36" s="102">
        <v>1</v>
      </c>
      <c r="D36" s="103"/>
      <c r="E36" s="104">
        <f t="shared" si="0"/>
        <v>0</v>
      </c>
    </row>
    <row r="37" spans="1:5" ht="21.6" customHeight="1">
      <c r="A37" s="113" t="s">
        <v>170</v>
      </c>
      <c r="B37" s="102" t="s">
        <v>171</v>
      </c>
      <c r="C37" s="102">
        <v>10</v>
      </c>
      <c r="D37" s="103"/>
      <c r="E37" s="104">
        <f t="shared" si="0"/>
        <v>0</v>
      </c>
    </row>
    <row r="38" spans="1:5" ht="21.6" customHeight="1">
      <c r="A38" s="113" t="s">
        <v>172</v>
      </c>
      <c r="B38" s="102" t="s">
        <v>159</v>
      </c>
      <c r="C38" s="102">
        <v>1</v>
      </c>
      <c r="D38" s="103"/>
      <c r="E38" s="104">
        <f t="shared" si="0"/>
        <v>0</v>
      </c>
    </row>
    <row r="39" spans="1:5" ht="21.6" customHeight="1">
      <c r="A39" s="107" t="s">
        <v>173</v>
      </c>
      <c r="B39" s="102" t="s">
        <v>159</v>
      </c>
      <c r="C39" s="102">
        <v>1</v>
      </c>
      <c r="D39" s="103"/>
      <c r="E39" s="104">
        <f t="shared" si="0"/>
        <v>0</v>
      </c>
    </row>
    <row r="40" spans="1:5" ht="21.6" customHeight="1">
      <c r="A40" s="107" t="s">
        <v>174</v>
      </c>
      <c r="B40" s="102" t="s">
        <v>159</v>
      </c>
      <c r="C40" s="102">
        <v>1</v>
      </c>
      <c r="D40" s="103"/>
      <c r="E40" s="104">
        <f t="shared" si="0"/>
        <v>0</v>
      </c>
    </row>
    <row r="41" spans="1:5" ht="21.6" customHeight="1">
      <c r="A41" s="107" t="s">
        <v>175</v>
      </c>
      <c r="B41" s="102" t="s">
        <v>159</v>
      </c>
      <c r="C41" s="102">
        <v>1</v>
      </c>
      <c r="D41" s="103"/>
      <c r="E41" s="104">
        <f t="shared" si="0"/>
        <v>0</v>
      </c>
    </row>
    <row r="42" spans="1:5" ht="21.6" customHeight="1">
      <c r="A42" s="97" t="s">
        <v>176</v>
      </c>
      <c r="B42" s="114"/>
      <c r="C42" s="114"/>
      <c r="D42" s="115"/>
      <c r="E42" s="100">
        <f>E33+E20+E4</f>
        <v>0</v>
      </c>
    </row>
    <row r="43" spans="1:5" ht="21.6" customHeight="1" thickBot="1">
      <c r="A43" s="116"/>
      <c r="B43" s="117"/>
      <c r="C43" s="117"/>
      <c r="D43" s="118"/>
      <c r="E43" s="119"/>
    </row>
    <row r="44" spans="1:5" ht="21.6" customHeight="1" thickBot="1">
      <c r="A44" s="389" t="s">
        <v>177</v>
      </c>
      <c r="B44" s="390"/>
      <c r="C44" s="390"/>
      <c r="D44" s="391"/>
      <c r="E44" s="392"/>
    </row>
    <row r="45" spans="1:5" ht="21.6" customHeight="1">
      <c r="A45" s="120" t="s">
        <v>1366</v>
      </c>
      <c r="B45" s="121"/>
      <c r="C45" s="121"/>
      <c r="D45" s="122"/>
      <c r="E45" s="123"/>
    </row>
    <row r="46" spans="1:5" ht="21.6" customHeight="1">
      <c r="A46" s="107" t="s">
        <v>1367</v>
      </c>
      <c r="B46" s="102"/>
      <c r="C46" s="102"/>
      <c r="D46" s="124"/>
      <c r="E46" s="125"/>
    </row>
    <row r="47" spans="1:5" ht="21.6" customHeight="1">
      <c r="A47" s="107"/>
      <c r="B47" s="102"/>
      <c r="C47" s="126"/>
      <c r="D47" s="124"/>
      <c r="E47" s="125"/>
    </row>
    <row r="48" spans="1:5" ht="15">
      <c r="A48" s="107"/>
      <c r="B48" s="102"/>
      <c r="C48" s="126"/>
      <c r="D48" s="124"/>
      <c r="E48" s="125"/>
    </row>
    <row r="49" spans="1:5" ht="17.25" thickBot="1">
      <c r="A49" s="127"/>
      <c r="B49" s="128"/>
      <c r="C49" s="129"/>
      <c r="D49" s="130"/>
      <c r="E49" s="131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48A4-DAD3-4A50-83C7-1EEC352A30D4}">
  <dimension ref="A1:K125"/>
  <sheetViews>
    <sheetView zoomScale="85" zoomScaleNormal="85" workbookViewId="0" topLeftCell="A1">
      <selection activeCell="G35" sqref="G35"/>
    </sheetView>
  </sheetViews>
  <sheetFormatPr defaultColWidth="9.140625" defaultRowHeight="15"/>
  <cols>
    <col min="1" max="1" width="5.7109375" style="0" customWidth="1"/>
    <col min="2" max="2" width="13.57421875" style="81" customWidth="1"/>
    <col min="3" max="3" width="57.8515625" style="82" customWidth="1"/>
    <col min="4" max="4" width="6.8515625" style="83" customWidth="1"/>
    <col min="5" max="5" width="9.7109375" style="84" customWidth="1"/>
    <col min="6" max="6" width="12.7109375" style="92" customWidth="1"/>
    <col min="7" max="7" width="12.7109375" style="83" customWidth="1"/>
    <col min="8" max="8" width="17.140625" style="83" customWidth="1"/>
    <col min="10" max="10" width="44.00390625" style="0" customWidth="1"/>
  </cols>
  <sheetData>
    <row r="1" spans="1:8" ht="18.75">
      <c r="A1" s="9"/>
      <c r="B1" s="10" t="s">
        <v>17</v>
      </c>
      <c r="C1" s="11"/>
      <c r="D1" s="12"/>
      <c r="E1" s="13"/>
      <c r="F1" s="14"/>
      <c r="G1" s="14"/>
      <c r="H1" s="15"/>
    </row>
    <row r="2" spans="1:8" ht="32.25" customHeight="1">
      <c r="A2" s="9"/>
      <c r="B2" s="16" t="s">
        <v>18</v>
      </c>
      <c r="C2" s="17" t="s">
        <v>19</v>
      </c>
      <c r="D2" s="12"/>
      <c r="E2" s="13"/>
      <c r="F2" s="14"/>
      <c r="G2" s="14"/>
      <c r="H2" s="15"/>
    </row>
    <row r="3" spans="1:8" ht="15.75">
      <c r="A3" s="9"/>
      <c r="B3" s="16" t="s">
        <v>20</v>
      </c>
      <c r="C3" s="11" t="s">
        <v>21</v>
      </c>
      <c r="D3" s="12"/>
      <c r="E3" s="13"/>
      <c r="F3" s="14"/>
      <c r="G3" s="14"/>
      <c r="H3" s="15"/>
    </row>
    <row r="4" spans="1:8" ht="15.75">
      <c r="A4" s="9"/>
      <c r="B4" s="16" t="s">
        <v>4</v>
      </c>
      <c r="C4" s="18">
        <v>45274</v>
      </c>
      <c r="D4" s="12"/>
      <c r="E4" s="13"/>
      <c r="F4" s="14"/>
      <c r="G4" s="14"/>
      <c r="H4" s="15"/>
    </row>
    <row r="5" spans="1:8" ht="15.75">
      <c r="A5" s="9"/>
      <c r="B5" s="19"/>
      <c r="C5" s="11"/>
      <c r="D5" s="12"/>
      <c r="E5" s="13"/>
      <c r="F5" s="14"/>
      <c r="G5" s="14"/>
      <c r="H5" s="15"/>
    </row>
    <row r="6" spans="1:8" ht="16.5">
      <c r="A6" s="9"/>
      <c r="B6" s="20"/>
      <c r="C6" s="21"/>
      <c r="D6" s="22"/>
      <c r="E6" s="23"/>
      <c r="F6" s="24"/>
      <c r="G6" s="25"/>
      <c r="H6" s="26"/>
    </row>
    <row r="7" spans="1:8" ht="15.75" thickBot="1">
      <c r="A7" s="27" t="s">
        <v>22</v>
      </c>
      <c r="B7" s="28" t="s">
        <v>23</v>
      </c>
      <c r="C7" s="28" t="s">
        <v>24</v>
      </c>
      <c r="D7" s="27" t="s">
        <v>25</v>
      </c>
      <c r="E7" s="29" t="s">
        <v>26</v>
      </c>
      <c r="F7" s="30" t="s">
        <v>27</v>
      </c>
      <c r="G7" s="27" t="s">
        <v>28</v>
      </c>
      <c r="H7" s="27" t="s">
        <v>29</v>
      </c>
    </row>
    <row r="8" spans="1:8" ht="15.75">
      <c r="A8" s="31"/>
      <c r="B8" s="32"/>
      <c r="C8" s="393"/>
      <c r="D8" s="394"/>
      <c r="E8" s="395"/>
      <c r="F8" s="24"/>
      <c r="G8" s="33"/>
      <c r="H8" s="34"/>
    </row>
    <row r="9" spans="1:8" ht="15.75">
      <c r="A9" s="35" t="s">
        <v>30</v>
      </c>
      <c r="B9" s="36" t="s">
        <v>31</v>
      </c>
      <c r="C9" s="37" t="s">
        <v>32</v>
      </c>
      <c r="D9" s="38"/>
      <c r="E9" s="39"/>
      <c r="F9" s="40"/>
      <c r="G9" s="41"/>
      <c r="H9" s="42"/>
    </row>
    <row r="10" spans="1:8" ht="15">
      <c r="A10" s="43"/>
      <c r="B10" s="44"/>
      <c r="C10" s="45" t="s">
        <v>33</v>
      </c>
      <c r="D10" s="46"/>
      <c r="E10" s="47"/>
      <c r="F10" s="48"/>
      <c r="G10" s="49"/>
      <c r="H10" s="50"/>
    </row>
    <row r="11" spans="1:8" ht="27" customHeight="1">
      <c r="A11" s="51">
        <v>1</v>
      </c>
      <c r="B11" s="52"/>
      <c r="C11" s="53" t="s">
        <v>34</v>
      </c>
      <c r="D11" s="54" t="s">
        <v>35</v>
      </c>
      <c r="E11" s="55">
        <v>120</v>
      </c>
      <c r="F11" s="56"/>
      <c r="G11" s="56"/>
      <c r="H11" s="57">
        <f aca="true" t="shared" si="0" ref="H11:H17">F11*E11+G11*E11</f>
        <v>0</v>
      </c>
    </row>
    <row r="12" spans="1:10" ht="27" customHeight="1">
      <c r="A12" s="51">
        <f>A11+1</f>
        <v>2</v>
      </c>
      <c r="B12" s="52"/>
      <c r="C12" s="53" t="s">
        <v>36</v>
      </c>
      <c r="D12" s="54" t="s">
        <v>35</v>
      </c>
      <c r="E12" s="55">
        <v>660</v>
      </c>
      <c r="F12" s="56"/>
      <c r="G12" s="56"/>
      <c r="H12" s="57">
        <f t="shared" si="0"/>
        <v>0</v>
      </c>
      <c r="J12" s="58"/>
    </row>
    <row r="13" spans="1:10" ht="15">
      <c r="A13" s="51">
        <f>A12+1</f>
        <v>3</v>
      </c>
      <c r="B13" s="52"/>
      <c r="C13" s="53" t="s">
        <v>37</v>
      </c>
      <c r="D13" s="54" t="s">
        <v>38</v>
      </c>
      <c r="E13" s="55">
        <v>18.72</v>
      </c>
      <c r="F13" s="56"/>
      <c r="G13" s="56"/>
      <c r="H13" s="57">
        <f t="shared" si="0"/>
        <v>0</v>
      </c>
      <c r="J13" s="58"/>
    </row>
    <row r="14" spans="1:10" ht="15">
      <c r="A14" s="51"/>
      <c r="B14" s="52"/>
      <c r="C14" s="59" t="s">
        <v>39</v>
      </c>
      <c r="D14" s="54"/>
      <c r="E14" s="55"/>
      <c r="F14" s="56"/>
      <c r="G14" s="56"/>
      <c r="H14" s="57"/>
      <c r="J14" s="58"/>
    </row>
    <row r="15" spans="1:10" ht="27" customHeight="1">
      <c r="A15" s="51">
        <f>A13+1</f>
        <v>4</v>
      </c>
      <c r="B15" s="52"/>
      <c r="C15" s="53" t="s">
        <v>40</v>
      </c>
      <c r="D15" s="54" t="s">
        <v>38</v>
      </c>
      <c r="E15" s="55">
        <v>27.840000000000003</v>
      </c>
      <c r="F15" s="56"/>
      <c r="G15" s="56"/>
      <c r="H15" s="57">
        <f t="shared" si="0"/>
        <v>0</v>
      </c>
      <c r="J15" s="58"/>
    </row>
    <row r="16" spans="1:10" ht="15">
      <c r="A16" s="51"/>
      <c r="B16" s="52"/>
      <c r="C16" s="59" t="s">
        <v>41</v>
      </c>
      <c r="D16" s="54"/>
      <c r="E16" s="55"/>
      <c r="F16" s="56"/>
      <c r="G16" s="56"/>
      <c r="H16" s="57"/>
      <c r="J16" s="58"/>
    </row>
    <row r="17" spans="1:10" ht="15">
      <c r="A17" s="51">
        <f>A15+1</f>
        <v>5</v>
      </c>
      <c r="B17" s="52"/>
      <c r="C17" s="53" t="s">
        <v>42</v>
      </c>
      <c r="D17" s="54" t="s">
        <v>43</v>
      </c>
      <c r="E17" s="55">
        <v>10</v>
      </c>
      <c r="F17" s="56"/>
      <c r="G17" s="56"/>
      <c r="H17" s="57">
        <f t="shared" si="0"/>
        <v>0</v>
      </c>
      <c r="J17" s="58"/>
    </row>
    <row r="18" spans="1:8" ht="15">
      <c r="A18" s="60"/>
      <c r="B18" s="61"/>
      <c r="C18" s="62"/>
      <c r="D18" s="63"/>
      <c r="E18" s="64"/>
      <c r="F18" s="65"/>
      <c r="G18" s="65"/>
      <c r="H18" s="65">
        <f>SUM(H11:H17)</f>
        <v>0</v>
      </c>
    </row>
    <row r="19" spans="1:8" ht="15">
      <c r="A19" s="43"/>
      <c r="B19" s="44"/>
      <c r="C19" s="45" t="s">
        <v>44</v>
      </c>
      <c r="D19" s="46"/>
      <c r="E19" s="47"/>
      <c r="F19" s="48"/>
      <c r="G19" s="48"/>
      <c r="H19" s="48"/>
    </row>
    <row r="20" spans="1:8" ht="15">
      <c r="A20" s="51">
        <f>A17+1</f>
        <v>6</v>
      </c>
      <c r="B20" s="52"/>
      <c r="C20" s="53" t="s">
        <v>45</v>
      </c>
      <c r="D20" s="66" t="s">
        <v>46</v>
      </c>
      <c r="E20" s="55">
        <v>200</v>
      </c>
      <c r="F20" s="67"/>
      <c r="G20" s="56"/>
      <c r="H20" s="57">
        <f aca="true" t="shared" si="1" ref="H20">F20*E20+G20*E20</f>
        <v>0</v>
      </c>
    </row>
    <row r="21" spans="1:10" ht="15">
      <c r="A21" s="51"/>
      <c r="B21" s="59"/>
      <c r="C21" s="59" t="s">
        <v>47</v>
      </c>
      <c r="D21" s="54"/>
      <c r="E21" s="55"/>
      <c r="F21" s="56"/>
      <c r="G21" s="56"/>
      <c r="H21" s="57"/>
      <c r="J21" s="58"/>
    </row>
    <row r="22" spans="1:8" ht="15">
      <c r="A22" s="51">
        <f>A20+1</f>
        <v>7</v>
      </c>
      <c r="B22" s="52"/>
      <c r="C22" s="53" t="s">
        <v>48</v>
      </c>
      <c r="D22" s="66" t="s">
        <v>46</v>
      </c>
      <c r="E22" s="55">
        <v>100</v>
      </c>
      <c r="F22" s="67"/>
      <c r="G22" s="56"/>
      <c r="H22" s="57">
        <f aca="true" t="shared" si="2" ref="H22">F22*E22+G22*E22</f>
        <v>0</v>
      </c>
    </row>
    <row r="23" spans="1:10" ht="15">
      <c r="A23" s="51"/>
      <c r="B23" s="59"/>
      <c r="C23" s="59" t="s">
        <v>47</v>
      </c>
      <c r="D23" s="54"/>
      <c r="E23" s="55"/>
      <c r="F23" s="56"/>
      <c r="G23" s="56"/>
      <c r="H23" s="57"/>
      <c r="J23" s="58"/>
    </row>
    <row r="24" spans="1:8" ht="15">
      <c r="A24" s="51">
        <f>A22+1</f>
        <v>8</v>
      </c>
      <c r="B24" s="52"/>
      <c r="C24" s="53" t="s">
        <v>49</v>
      </c>
      <c r="D24" s="66" t="s">
        <v>46</v>
      </c>
      <c r="E24" s="55">
        <v>900</v>
      </c>
      <c r="F24" s="67"/>
      <c r="G24" s="56"/>
      <c r="H24" s="57">
        <f aca="true" t="shared" si="3" ref="H24">F24*E24+G24*E24</f>
        <v>0</v>
      </c>
    </row>
    <row r="25" spans="1:10" ht="15">
      <c r="A25" s="51"/>
      <c r="B25" s="59"/>
      <c r="C25" s="59" t="s">
        <v>47</v>
      </c>
      <c r="D25" s="54"/>
      <c r="E25" s="55"/>
      <c r="F25" s="56"/>
      <c r="G25" s="56"/>
      <c r="H25" s="57"/>
      <c r="J25" s="58"/>
    </row>
    <row r="26" spans="1:8" ht="27.75" customHeight="1">
      <c r="A26" s="51">
        <f>A24+1</f>
        <v>9</v>
      </c>
      <c r="B26" s="52"/>
      <c r="C26" s="53" t="s">
        <v>50</v>
      </c>
      <c r="D26" s="66" t="s">
        <v>51</v>
      </c>
      <c r="E26" s="55">
        <v>1</v>
      </c>
      <c r="F26" s="67"/>
      <c r="G26" s="56"/>
      <c r="H26" s="57">
        <f aca="true" t="shared" si="4" ref="H26:H33">F26*E26+G26*E26</f>
        <v>0</v>
      </c>
    </row>
    <row r="27" spans="1:10" ht="15">
      <c r="A27" s="51"/>
      <c r="B27" s="59"/>
      <c r="C27" s="59" t="s">
        <v>52</v>
      </c>
      <c r="D27" s="54"/>
      <c r="E27" s="55"/>
      <c r="F27" s="56"/>
      <c r="G27" s="56"/>
      <c r="H27" s="57"/>
      <c r="J27" s="58"/>
    </row>
    <row r="28" spans="1:8" ht="15">
      <c r="A28" s="51">
        <f>A26+1</f>
        <v>10</v>
      </c>
      <c r="B28" s="52"/>
      <c r="C28" s="53" t="s">
        <v>53</v>
      </c>
      <c r="D28" s="66" t="s">
        <v>46</v>
      </c>
      <c r="E28" s="55">
        <v>125</v>
      </c>
      <c r="F28" s="67"/>
      <c r="G28" s="56"/>
      <c r="H28" s="57">
        <f aca="true" t="shared" si="5" ref="H28">F28*E28+G28*E28</f>
        <v>0</v>
      </c>
    </row>
    <row r="29" spans="1:10" ht="15">
      <c r="A29" s="51"/>
      <c r="B29" s="59"/>
      <c r="C29" s="59" t="s">
        <v>54</v>
      </c>
      <c r="D29" s="54"/>
      <c r="E29" s="55"/>
      <c r="F29" s="56"/>
      <c r="G29" s="56"/>
      <c r="H29" s="57"/>
      <c r="J29" s="58"/>
    </row>
    <row r="30" spans="1:8" ht="15">
      <c r="A30" s="51">
        <f>A28+1</f>
        <v>11</v>
      </c>
      <c r="B30" s="52"/>
      <c r="C30" s="53" t="s">
        <v>55</v>
      </c>
      <c r="D30" s="66" t="s">
        <v>51</v>
      </c>
      <c r="E30" s="55">
        <v>11</v>
      </c>
      <c r="F30" s="67"/>
      <c r="G30" s="56"/>
      <c r="H30" s="57">
        <f aca="true" t="shared" si="6" ref="H30:H31">F30*E30+G30*E30</f>
        <v>0</v>
      </c>
    </row>
    <row r="31" spans="1:8" ht="15">
      <c r="A31" s="51">
        <f>A30+1</f>
        <v>12</v>
      </c>
      <c r="B31" s="52"/>
      <c r="C31" s="53" t="s">
        <v>56</v>
      </c>
      <c r="D31" s="66" t="s">
        <v>51</v>
      </c>
      <c r="E31" s="55">
        <v>16</v>
      </c>
      <c r="F31" s="67"/>
      <c r="G31" s="56"/>
      <c r="H31" s="57">
        <f t="shared" si="6"/>
        <v>0</v>
      </c>
    </row>
    <row r="32" spans="1:8" ht="15">
      <c r="A32" s="51"/>
      <c r="B32" s="59"/>
      <c r="C32" s="59" t="s">
        <v>57</v>
      </c>
      <c r="D32" s="66"/>
      <c r="E32" s="55"/>
      <c r="F32" s="67"/>
      <c r="G32" s="56"/>
      <c r="H32" s="57"/>
    </row>
    <row r="33" spans="1:8" ht="15">
      <c r="A33" s="51">
        <f>A31+1</f>
        <v>13</v>
      </c>
      <c r="B33" s="52"/>
      <c r="C33" s="53" t="s">
        <v>58</v>
      </c>
      <c r="D33" s="66" t="s">
        <v>51</v>
      </c>
      <c r="E33" s="55">
        <v>1</v>
      </c>
      <c r="F33" s="67"/>
      <c r="G33" s="56"/>
      <c r="H33" s="57">
        <f t="shared" si="4"/>
        <v>0</v>
      </c>
    </row>
    <row r="34" spans="1:8" ht="15">
      <c r="A34" s="51"/>
      <c r="B34" s="52"/>
      <c r="C34" s="59" t="s">
        <v>59</v>
      </c>
      <c r="D34" s="66"/>
      <c r="E34" s="55"/>
      <c r="F34" s="67"/>
      <c r="G34" s="56"/>
      <c r="H34" s="57"/>
    </row>
    <row r="35" spans="1:8" ht="15">
      <c r="A35" s="51">
        <f>A33+1</f>
        <v>14</v>
      </c>
      <c r="B35" s="52"/>
      <c r="C35" s="53" t="s">
        <v>60</v>
      </c>
      <c r="D35" s="66" t="s">
        <v>51</v>
      </c>
      <c r="E35" s="55">
        <v>1</v>
      </c>
      <c r="F35" s="67"/>
      <c r="G35" s="56"/>
      <c r="H35" s="57">
        <f aca="true" t="shared" si="7" ref="H35">F35*E35+G35*E35</f>
        <v>0</v>
      </c>
    </row>
    <row r="36" spans="1:8" ht="15">
      <c r="A36" s="60"/>
      <c r="B36" s="61"/>
      <c r="C36" s="62"/>
      <c r="D36" s="68"/>
      <c r="E36" s="64"/>
      <c r="F36" s="69"/>
      <c r="G36" s="69"/>
      <c r="H36" s="65">
        <f>SUM(H20:H35)</f>
        <v>0</v>
      </c>
    </row>
    <row r="37" spans="1:8" ht="15">
      <c r="A37" s="43"/>
      <c r="B37" s="44"/>
      <c r="C37" s="45" t="s">
        <v>61</v>
      </c>
      <c r="D37" s="46"/>
      <c r="E37" s="47"/>
      <c r="F37" s="48"/>
      <c r="G37" s="48"/>
      <c r="H37" s="48"/>
    </row>
    <row r="38" spans="1:8" ht="29.25" customHeight="1">
      <c r="A38" s="51">
        <f>A35+1</f>
        <v>15</v>
      </c>
      <c r="B38" s="52"/>
      <c r="C38" s="53" t="s">
        <v>1237</v>
      </c>
      <c r="D38" s="54" t="s">
        <v>51</v>
      </c>
      <c r="E38" s="70">
        <v>1</v>
      </c>
      <c r="F38" s="67"/>
      <c r="G38" s="56"/>
      <c r="H38" s="57">
        <f aca="true" t="shared" si="8" ref="H38:H47">F38*E38+G38*E38</f>
        <v>0</v>
      </c>
    </row>
    <row r="39" spans="1:8" s="79" customFormat="1" ht="25.5" customHeight="1">
      <c r="A39" s="71"/>
      <c r="B39" s="72"/>
      <c r="C39" s="73" t="s">
        <v>62</v>
      </c>
      <c r="D39" s="74"/>
      <c r="E39" s="75"/>
      <c r="F39" s="76"/>
      <c r="G39" s="77"/>
      <c r="H39" s="78"/>
    </row>
    <row r="40" spans="1:8" ht="15">
      <c r="A40" s="51">
        <f>A38+1</f>
        <v>16</v>
      </c>
      <c r="B40" s="52"/>
      <c r="C40" s="53" t="s">
        <v>63</v>
      </c>
      <c r="D40" s="54" t="s">
        <v>51</v>
      </c>
      <c r="E40" s="70">
        <v>1</v>
      </c>
      <c r="F40" s="67"/>
      <c r="G40" s="56"/>
      <c r="H40" s="57">
        <f t="shared" si="8"/>
        <v>0</v>
      </c>
    </row>
    <row r="41" spans="1:8" ht="15">
      <c r="A41" s="51"/>
      <c r="B41" s="59"/>
      <c r="C41" s="73" t="s">
        <v>64</v>
      </c>
      <c r="D41" s="54"/>
      <c r="E41" s="70"/>
      <c r="F41" s="56"/>
      <c r="G41" s="56"/>
      <c r="H41" s="57"/>
    </row>
    <row r="42" spans="1:8" ht="15">
      <c r="A42" s="51">
        <f>A40+1</f>
        <v>17</v>
      </c>
      <c r="B42" s="52"/>
      <c r="C42" s="53" t="s">
        <v>65</v>
      </c>
      <c r="D42" s="54" t="s">
        <v>51</v>
      </c>
      <c r="E42" s="70">
        <v>1</v>
      </c>
      <c r="F42" s="67"/>
      <c r="G42" s="56"/>
      <c r="H42" s="57">
        <f t="shared" si="8"/>
        <v>0</v>
      </c>
    </row>
    <row r="43" spans="1:8" s="79" customFormat="1" ht="25.5" customHeight="1">
      <c r="A43" s="71"/>
      <c r="B43" s="72"/>
      <c r="C43" s="73" t="s">
        <v>66</v>
      </c>
      <c r="D43" s="74"/>
      <c r="E43" s="75"/>
      <c r="F43" s="76"/>
      <c r="G43" s="77"/>
      <c r="H43" s="78"/>
    </row>
    <row r="44" spans="1:8" ht="15">
      <c r="A44" s="51"/>
      <c r="B44" s="59"/>
      <c r="C44" s="73" t="s">
        <v>67</v>
      </c>
      <c r="D44" s="54"/>
      <c r="E44" s="70"/>
      <c r="F44" s="56"/>
      <c r="G44" s="56"/>
      <c r="H44" s="57"/>
    </row>
    <row r="45" spans="1:8" ht="29.25" customHeight="1">
      <c r="A45" s="51">
        <f>A42+1</f>
        <v>18</v>
      </c>
      <c r="B45" s="52"/>
      <c r="C45" s="53" t="s">
        <v>68</v>
      </c>
      <c r="D45" s="54" t="s">
        <v>51</v>
      </c>
      <c r="E45" s="70">
        <v>4</v>
      </c>
      <c r="F45" s="67"/>
      <c r="G45" s="56"/>
      <c r="H45" s="57">
        <f t="shared" si="8"/>
        <v>0</v>
      </c>
    </row>
    <row r="46" spans="1:8" s="79" customFormat="1" ht="25.5" customHeight="1">
      <c r="A46" s="71"/>
      <c r="B46" s="72"/>
      <c r="C46" s="73" t="s">
        <v>69</v>
      </c>
      <c r="D46" s="74"/>
      <c r="E46" s="75"/>
      <c r="F46" s="76"/>
      <c r="G46" s="77"/>
      <c r="H46" s="78"/>
    </row>
    <row r="47" spans="1:8" ht="15">
      <c r="A47" s="51">
        <f>A45+1</f>
        <v>19</v>
      </c>
      <c r="B47" s="52"/>
      <c r="C47" s="53" t="s">
        <v>70</v>
      </c>
      <c r="D47" s="54" t="s">
        <v>51</v>
      </c>
      <c r="E47" s="70">
        <v>1</v>
      </c>
      <c r="F47" s="67"/>
      <c r="G47" s="56"/>
      <c r="H47" s="57">
        <f t="shared" si="8"/>
        <v>0</v>
      </c>
    </row>
    <row r="48" spans="1:8" s="79" customFormat="1" ht="25.5" customHeight="1">
      <c r="A48" s="71"/>
      <c r="B48" s="72"/>
      <c r="C48" s="73" t="s">
        <v>71</v>
      </c>
      <c r="D48" s="74"/>
      <c r="E48" s="75"/>
      <c r="F48" s="76"/>
      <c r="G48" s="77"/>
      <c r="H48" s="78"/>
    </row>
    <row r="49" spans="1:8" ht="15">
      <c r="A49" s="51">
        <f>A47+1</f>
        <v>20</v>
      </c>
      <c r="B49" s="52"/>
      <c r="C49" s="53" t="s">
        <v>72</v>
      </c>
      <c r="D49" s="54" t="s">
        <v>51</v>
      </c>
      <c r="E49" s="70">
        <v>3</v>
      </c>
      <c r="F49" s="67"/>
      <c r="G49" s="56"/>
      <c r="H49" s="57">
        <f aca="true" t="shared" si="9" ref="H49">F49*E49+G49*E49</f>
        <v>0</v>
      </c>
    </row>
    <row r="50" spans="1:8" s="79" customFormat="1" ht="25.5" customHeight="1">
      <c r="A50" s="71"/>
      <c r="B50" s="72"/>
      <c r="C50" s="73" t="s">
        <v>69</v>
      </c>
      <c r="D50" s="74"/>
      <c r="E50" s="75"/>
      <c r="F50" s="76"/>
      <c r="G50" s="77"/>
      <c r="H50" s="78"/>
    </row>
    <row r="51" spans="1:8" ht="15">
      <c r="A51" s="51">
        <f>A49+1</f>
        <v>21</v>
      </c>
      <c r="B51" s="52"/>
      <c r="C51" s="53" t="s">
        <v>73</v>
      </c>
      <c r="D51" s="54" t="s">
        <v>51</v>
      </c>
      <c r="E51" s="70">
        <v>3</v>
      </c>
      <c r="F51" s="67"/>
      <c r="G51" s="56"/>
      <c r="H51" s="57">
        <f aca="true" t="shared" si="10" ref="H51">F51*E51+G51*E51</f>
        <v>0</v>
      </c>
    </row>
    <row r="52" spans="1:8" s="79" customFormat="1" ht="25.5" customHeight="1">
      <c r="A52" s="71"/>
      <c r="B52" s="72"/>
      <c r="C52" s="73" t="s">
        <v>69</v>
      </c>
      <c r="D52" s="74"/>
      <c r="E52" s="75"/>
      <c r="F52" s="76"/>
      <c r="G52" s="77"/>
      <c r="H52" s="78"/>
    </row>
    <row r="53" spans="1:8" ht="15">
      <c r="A53" s="51">
        <f>A51+1</f>
        <v>22</v>
      </c>
      <c r="B53" s="52"/>
      <c r="C53" s="53" t="s">
        <v>74</v>
      </c>
      <c r="D53" s="54" t="s">
        <v>51</v>
      </c>
      <c r="E53" s="70">
        <v>2</v>
      </c>
      <c r="F53" s="67"/>
      <c r="G53" s="56"/>
      <c r="H53" s="57">
        <f aca="true" t="shared" si="11" ref="H53">F53*E53+G53*E53</f>
        <v>0</v>
      </c>
    </row>
    <row r="54" spans="1:8" ht="15">
      <c r="A54" s="51"/>
      <c r="B54" s="59"/>
      <c r="C54" s="73" t="s">
        <v>75</v>
      </c>
      <c r="D54" s="54"/>
      <c r="E54" s="70"/>
      <c r="F54" s="56"/>
      <c r="G54" s="56"/>
      <c r="H54" s="57"/>
    </row>
    <row r="55" spans="1:8" ht="15">
      <c r="A55" s="51">
        <f>A53+1</f>
        <v>23</v>
      </c>
      <c r="B55" s="52"/>
      <c r="C55" s="53" t="s">
        <v>76</v>
      </c>
      <c r="D55" s="54" t="s">
        <v>51</v>
      </c>
      <c r="E55" s="70">
        <v>1</v>
      </c>
      <c r="F55" s="67"/>
      <c r="G55" s="56"/>
      <c r="H55" s="57">
        <f aca="true" t="shared" si="12" ref="H55">F55*E55+G55*E55</f>
        <v>0</v>
      </c>
    </row>
    <row r="56" spans="1:8" ht="15">
      <c r="A56" s="51"/>
      <c r="B56" s="59"/>
      <c r="C56" s="73" t="s">
        <v>75</v>
      </c>
      <c r="D56" s="54"/>
      <c r="E56" s="70"/>
      <c r="F56" s="56"/>
      <c r="G56" s="56"/>
      <c r="H56" s="57"/>
    </row>
    <row r="57" spans="1:8" ht="15">
      <c r="A57" s="51">
        <f>A55+1</f>
        <v>24</v>
      </c>
      <c r="B57" s="52"/>
      <c r="C57" s="53" t="s">
        <v>77</v>
      </c>
      <c r="D57" s="54" t="s">
        <v>51</v>
      </c>
      <c r="E57" s="70">
        <v>15</v>
      </c>
      <c r="F57" s="67"/>
      <c r="G57" s="56"/>
      <c r="H57" s="57">
        <f aca="true" t="shared" si="13" ref="H57">F57*E57+G57*E57</f>
        <v>0</v>
      </c>
    </row>
    <row r="58" spans="1:8" ht="15">
      <c r="A58" s="60"/>
      <c r="B58" s="61"/>
      <c r="C58" s="62"/>
      <c r="D58" s="63"/>
      <c r="E58" s="80"/>
      <c r="F58" s="69"/>
      <c r="G58" s="69"/>
      <c r="H58" s="65">
        <f>SUM(H38:H57)</f>
        <v>0</v>
      </c>
    </row>
    <row r="59" spans="1:8" ht="15">
      <c r="A59" s="43"/>
      <c r="B59" s="44"/>
      <c r="C59" s="45" t="s">
        <v>78</v>
      </c>
      <c r="D59" s="46"/>
      <c r="E59" s="47"/>
      <c r="F59" s="48"/>
      <c r="G59" s="48"/>
      <c r="H59" s="48"/>
    </row>
    <row r="60" spans="1:8" ht="27.75" customHeight="1">
      <c r="A60" s="51">
        <f>A57+1</f>
        <v>25</v>
      </c>
      <c r="B60" s="52"/>
      <c r="C60" s="53" t="s">
        <v>79</v>
      </c>
      <c r="D60" s="54" t="s">
        <v>51</v>
      </c>
      <c r="E60" s="55">
        <v>20</v>
      </c>
      <c r="F60" s="67"/>
      <c r="G60" s="56"/>
      <c r="H60" s="57">
        <f aca="true" t="shared" si="14" ref="H60:H69">F60*E60+G60*E60</f>
        <v>0</v>
      </c>
    </row>
    <row r="61" spans="1:8" ht="27" customHeight="1">
      <c r="A61" s="51">
        <f>A60+1</f>
        <v>26</v>
      </c>
      <c r="B61" s="52"/>
      <c r="C61" s="53" t="s">
        <v>80</v>
      </c>
      <c r="D61" s="54" t="s">
        <v>51</v>
      </c>
      <c r="E61" s="55">
        <v>4</v>
      </c>
      <c r="F61" s="67"/>
      <c r="G61" s="56"/>
      <c r="H61" s="57">
        <f t="shared" si="14"/>
        <v>0</v>
      </c>
    </row>
    <row r="62" spans="1:8" ht="27" customHeight="1">
      <c r="A62" s="51">
        <f aca="true" t="shared" si="15" ref="A62:A65">A61+1</f>
        <v>27</v>
      </c>
      <c r="B62" s="52"/>
      <c r="C62" s="53" t="s">
        <v>81</v>
      </c>
      <c r="D62" s="54" t="s">
        <v>51</v>
      </c>
      <c r="E62" s="55">
        <v>1</v>
      </c>
      <c r="F62" s="67"/>
      <c r="G62" s="56"/>
      <c r="H62" s="57">
        <f t="shared" si="14"/>
        <v>0</v>
      </c>
    </row>
    <row r="63" spans="1:8" ht="27" customHeight="1">
      <c r="A63" s="51">
        <f t="shared" si="15"/>
        <v>28</v>
      </c>
      <c r="B63" s="52"/>
      <c r="C63" s="53" t="s">
        <v>82</v>
      </c>
      <c r="D63" s="54" t="s">
        <v>51</v>
      </c>
      <c r="E63" s="55">
        <v>2</v>
      </c>
      <c r="F63" s="67"/>
      <c r="G63" s="56"/>
      <c r="H63" s="57">
        <f t="shared" si="14"/>
        <v>0</v>
      </c>
    </row>
    <row r="64" spans="1:8" ht="27" customHeight="1">
      <c r="A64" s="51">
        <f t="shared" si="15"/>
        <v>29</v>
      </c>
      <c r="B64" s="52"/>
      <c r="C64" s="53" t="s">
        <v>83</v>
      </c>
      <c r="D64" s="54" t="s">
        <v>51</v>
      </c>
      <c r="E64" s="55">
        <v>1</v>
      </c>
      <c r="F64" s="67"/>
      <c r="G64" s="56"/>
      <c r="H64" s="57">
        <f t="shared" si="14"/>
        <v>0</v>
      </c>
    </row>
    <row r="65" spans="1:8" ht="15">
      <c r="A65" s="51">
        <f t="shared" si="15"/>
        <v>30</v>
      </c>
      <c r="B65" s="52"/>
      <c r="C65" s="53" t="s">
        <v>84</v>
      </c>
      <c r="D65" s="54" t="s">
        <v>51</v>
      </c>
      <c r="E65" s="55">
        <v>3</v>
      </c>
      <c r="F65" s="67"/>
      <c r="G65" s="56"/>
      <c r="H65" s="57">
        <f t="shared" si="14"/>
        <v>0</v>
      </c>
    </row>
    <row r="66" spans="1:8" ht="15">
      <c r="A66" s="51"/>
      <c r="B66" s="59"/>
      <c r="C66" s="73" t="s">
        <v>85</v>
      </c>
      <c r="D66" s="54"/>
      <c r="E66" s="55"/>
      <c r="F66" s="67"/>
      <c r="G66" s="56"/>
      <c r="H66" s="57"/>
    </row>
    <row r="67" spans="1:8" ht="15">
      <c r="A67" s="51">
        <f>A65+1</f>
        <v>31</v>
      </c>
      <c r="B67" s="52"/>
      <c r="C67" s="53" t="s">
        <v>86</v>
      </c>
      <c r="D67" s="54" t="s">
        <v>51</v>
      </c>
      <c r="E67" s="55">
        <v>5</v>
      </c>
      <c r="F67" s="67"/>
      <c r="G67" s="56"/>
      <c r="H67" s="57">
        <f aca="true" t="shared" si="16" ref="H67">F67*E67+G67*E67</f>
        <v>0</v>
      </c>
    </row>
    <row r="68" spans="1:8" ht="15">
      <c r="A68" s="51"/>
      <c r="B68" s="59"/>
      <c r="C68" s="73" t="s">
        <v>87</v>
      </c>
      <c r="D68" s="54"/>
      <c r="E68" s="55"/>
      <c r="F68" s="67"/>
      <c r="G68" s="56"/>
      <c r="H68" s="57"/>
    </row>
    <row r="69" spans="1:8" ht="15">
      <c r="A69" s="51">
        <f>A67+1</f>
        <v>32</v>
      </c>
      <c r="B69" s="52"/>
      <c r="C69" s="53" t="s">
        <v>88</v>
      </c>
      <c r="D69" s="54" t="s">
        <v>51</v>
      </c>
      <c r="E69" s="55">
        <v>4</v>
      </c>
      <c r="F69" s="67"/>
      <c r="G69" s="56"/>
      <c r="H69" s="57">
        <f t="shared" si="14"/>
        <v>0</v>
      </c>
    </row>
    <row r="70" spans="1:8" ht="15">
      <c r="A70" s="51"/>
      <c r="B70" s="59"/>
      <c r="C70" s="73" t="s">
        <v>87</v>
      </c>
      <c r="D70" s="54"/>
      <c r="E70" s="55"/>
      <c r="F70" s="67"/>
      <c r="G70" s="56"/>
      <c r="H70" s="57"/>
    </row>
    <row r="71" spans="1:8" ht="15">
      <c r="A71" s="51">
        <f>A69+1</f>
        <v>33</v>
      </c>
      <c r="B71" s="52"/>
      <c r="C71" s="53" t="s">
        <v>89</v>
      </c>
      <c r="D71" s="54" t="s">
        <v>51</v>
      </c>
      <c r="E71" s="55">
        <v>8</v>
      </c>
      <c r="F71" s="67"/>
      <c r="G71" s="56"/>
      <c r="H71" s="57">
        <f aca="true" t="shared" si="17" ref="H71">F71*E71+G71*E71</f>
        <v>0</v>
      </c>
    </row>
    <row r="72" spans="1:8" ht="15">
      <c r="A72" s="51"/>
      <c r="B72" s="59"/>
      <c r="C72" s="73" t="s">
        <v>87</v>
      </c>
      <c r="D72" s="54"/>
      <c r="E72" s="55"/>
      <c r="F72" s="67"/>
      <c r="G72" s="56"/>
      <c r="H72" s="57"/>
    </row>
    <row r="73" spans="1:8" ht="15">
      <c r="A73" s="60"/>
      <c r="B73" s="61"/>
      <c r="C73" s="62"/>
      <c r="D73" s="63"/>
      <c r="E73" s="64"/>
      <c r="F73" s="69"/>
      <c r="G73" s="69"/>
      <c r="H73" s="65">
        <f>SUM(H60:H72)</f>
        <v>0</v>
      </c>
    </row>
    <row r="74" spans="1:8" ht="15">
      <c r="A74" s="43"/>
      <c r="B74" s="44"/>
      <c r="C74" s="45" t="s">
        <v>90</v>
      </c>
      <c r="D74" s="46"/>
      <c r="E74" s="47"/>
      <c r="F74" s="48"/>
      <c r="G74" s="48"/>
      <c r="H74" s="48"/>
    </row>
    <row r="75" spans="1:8" ht="15">
      <c r="A75" s="51">
        <f>A71+1</f>
        <v>34</v>
      </c>
      <c r="B75" s="52"/>
      <c r="C75" s="53" t="s">
        <v>91</v>
      </c>
      <c r="D75" s="54" t="s">
        <v>51</v>
      </c>
      <c r="E75" s="55">
        <v>144</v>
      </c>
      <c r="F75" s="67"/>
      <c r="G75" s="56"/>
      <c r="H75" s="57">
        <f aca="true" t="shared" si="18" ref="H75:H97">F75*E75+G75*E75</f>
        <v>0</v>
      </c>
    </row>
    <row r="76" spans="1:8" ht="27" customHeight="1">
      <c r="A76" s="51"/>
      <c r="B76" s="59"/>
      <c r="C76" s="73" t="s">
        <v>92</v>
      </c>
      <c r="D76" s="54"/>
      <c r="E76" s="55"/>
      <c r="F76" s="67"/>
      <c r="G76" s="56"/>
      <c r="H76" s="57"/>
    </row>
    <row r="77" spans="1:8" ht="15" customHeight="1">
      <c r="A77" s="51">
        <f>A75+1</f>
        <v>35</v>
      </c>
      <c r="B77" s="53"/>
      <c r="C77" s="53" t="s">
        <v>93</v>
      </c>
      <c r="D77" s="54" t="s">
        <v>51</v>
      </c>
      <c r="E77" s="55">
        <v>21</v>
      </c>
      <c r="F77" s="67"/>
      <c r="G77" s="56"/>
      <c r="H77" s="57">
        <f t="shared" si="18"/>
        <v>0</v>
      </c>
    </row>
    <row r="78" spans="1:8" ht="15" customHeight="1">
      <c r="A78" s="51">
        <f>A77+1</f>
        <v>36</v>
      </c>
      <c r="B78" s="53"/>
      <c r="C78" s="53" t="s">
        <v>94</v>
      </c>
      <c r="D78" s="54" t="s">
        <v>51</v>
      </c>
      <c r="E78" s="55">
        <v>3</v>
      </c>
      <c r="F78" s="67"/>
      <c r="G78" s="56"/>
      <c r="H78" s="57">
        <f t="shared" si="18"/>
        <v>0</v>
      </c>
    </row>
    <row r="79" spans="1:8" ht="15" customHeight="1">
      <c r="A79" s="51">
        <f aca="true" t="shared" si="19" ref="A79:A90">A78+1</f>
        <v>37</v>
      </c>
      <c r="B79" s="53"/>
      <c r="C79" s="53" t="s">
        <v>95</v>
      </c>
      <c r="D79" s="54" t="s">
        <v>51</v>
      </c>
      <c r="E79" s="55">
        <v>27</v>
      </c>
      <c r="F79" s="67"/>
      <c r="G79" s="56"/>
      <c r="H79" s="57">
        <f t="shared" si="18"/>
        <v>0</v>
      </c>
    </row>
    <row r="80" spans="1:8" ht="15" customHeight="1">
      <c r="A80" s="51">
        <f t="shared" si="19"/>
        <v>38</v>
      </c>
      <c r="B80" s="53"/>
      <c r="C80" s="53" t="s">
        <v>96</v>
      </c>
      <c r="D80" s="54" t="s">
        <v>51</v>
      </c>
      <c r="E80" s="55">
        <v>26</v>
      </c>
      <c r="F80" s="67"/>
      <c r="G80" s="56"/>
      <c r="H80" s="57">
        <f t="shared" si="18"/>
        <v>0</v>
      </c>
    </row>
    <row r="81" spans="1:8" ht="15" customHeight="1">
      <c r="A81" s="51">
        <f t="shared" si="19"/>
        <v>39</v>
      </c>
      <c r="B81" s="53"/>
      <c r="C81" s="53" t="s">
        <v>97</v>
      </c>
      <c r="D81" s="54" t="s">
        <v>51</v>
      </c>
      <c r="E81" s="55">
        <v>5</v>
      </c>
      <c r="F81" s="67"/>
      <c r="G81" s="56"/>
      <c r="H81" s="57">
        <f t="shared" si="18"/>
        <v>0</v>
      </c>
    </row>
    <row r="82" spans="1:8" ht="15" customHeight="1">
      <c r="A82" s="51">
        <f t="shared" si="19"/>
        <v>40</v>
      </c>
      <c r="B82" s="53"/>
      <c r="C82" s="53" t="s">
        <v>98</v>
      </c>
      <c r="D82" s="54" t="s">
        <v>51</v>
      </c>
      <c r="E82" s="55">
        <v>36</v>
      </c>
      <c r="F82" s="67"/>
      <c r="G82" s="56"/>
      <c r="H82" s="57">
        <f t="shared" si="18"/>
        <v>0</v>
      </c>
    </row>
    <row r="83" spans="1:8" ht="15" customHeight="1">
      <c r="A83" s="51">
        <f t="shared" si="19"/>
        <v>41</v>
      </c>
      <c r="B83" s="53"/>
      <c r="C83" s="53" t="s">
        <v>99</v>
      </c>
      <c r="D83" s="54" t="s">
        <v>51</v>
      </c>
      <c r="E83" s="55">
        <v>2</v>
      </c>
      <c r="F83" s="67"/>
      <c r="G83" s="56"/>
      <c r="H83" s="57">
        <f t="shared" si="18"/>
        <v>0</v>
      </c>
    </row>
    <row r="84" spans="1:8" ht="15" customHeight="1">
      <c r="A84" s="51">
        <f t="shared" si="19"/>
        <v>42</v>
      </c>
      <c r="B84" s="53"/>
      <c r="C84" s="53" t="s">
        <v>100</v>
      </c>
      <c r="D84" s="54" t="s">
        <v>51</v>
      </c>
      <c r="E84" s="55">
        <v>6</v>
      </c>
      <c r="F84" s="67"/>
      <c r="G84" s="56"/>
      <c r="H84" s="57">
        <f t="shared" si="18"/>
        <v>0</v>
      </c>
    </row>
    <row r="85" spans="1:8" ht="15" customHeight="1">
      <c r="A85" s="51">
        <f t="shared" si="19"/>
        <v>43</v>
      </c>
      <c r="B85" s="53"/>
      <c r="C85" s="53" t="s">
        <v>101</v>
      </c>
      <c r="D85" s="54" t="s">
        <v>51</v>
      </c>
      <c r="E85" s="55">
        <v>1</v>
      </c>
      <c r="F85" s="67"/>
      <c r="G85" s="56"/>
      <c r="H85" s="57">
        <f t="shared" si="18"/>
        <v>0</v>
      </c>
    </row>
    <row r="86" spans="1:8" ht="15" customHeight="1">
      <c r="A86" s="51">
        <f t="shared" si="19"/>
        <v>44</v>
      </c>
      <c r="B86" s="53"/>
      <c r="C86" s="53" t="s">
        <v>102</v>
      </c>
      <c r="D86" s="54" t="s">
        <v>51</v>
      </c>
      <c r="E86" s="55">
        <v>4</v>
      </c>
      <c r="F86" s="67"/>
      <c r="G86" s="56"/>
      <c r="H86" s="57">
        <f t="shared" si="18"/>
        <v>0</v>
      </c>
    </row>
    <row r="87" spans="1:8" ht="15" customHeight="1">
      <c r="A87" s="51">
        <f t="shared" si="19"/>
        <v>45</v>
      </c>
      <c r="B87" s="53"/>
      <c r="C87" s="53" t="s">
        <v>103</v>
      </c>
      <c r="D87" s="54" t="s">
        <v>51</v>
      </c>
      <c r="E87" s="55">
        <v>5</v>
      </c>
      <c r="F87" s="67"/>
      <c r="G87" s="56"/>
      <c r="H87" s="57">
        <f t="shared" si="18"/>
        <v>0</v>
      </c>
    </row>
    <row r="88" spans="1:8" ht="15" customHeight="1">
      <c r="A88" s="51">
        <f t="shared" si="19"/>
        <v>46</v>
      </c>
      <c r="B88" s="53"/>
      <c r="C88" s="53" t="s">
        <v>104</v>
      </c>
      <c r="D88" s="54" t="s">
        <v>51</v>
      </c>
      <c r="E88" s="55">
        <v>8</v>
      </c>
      <c r="F88" s="67"/>
      <c r="G88" s="56"/>
      <c r="H88" s="57">
        <f t="shared" si="18"/>
        <v>0</v>
      </c>
    </row>
    <row r="89" spans="1:8" ht="15" customHeight="1">
      <c r="A89" s="51">
        <f t="shared" si="19"/>
        <v>47</v>
      </c>
      <c r="B89" s="53"/>
      <c r="C89" s="53" t="s">
        <v>105</v>
      </c>
      <c r="D89" s="54" t="s">
        <v>51</v>
      </c>
      <c r="E89" s="55">
        <v>144</v>
      </c>
      <c r="F89" s="67"/>
      <c r="G89" s="56"/>
      <c r="H89" s="57">
        <f t="shared" si="18"/>
        <v>0</v>
      </c>
    </row>
    <row r="90" spans="1:8" ht="16.5" customHeight="1">
      <c r="A90" s="51">
        <f t="shared" si="19"/>
        <v>48</v>
      </c>
      <c r="B90" s="52"/>
      <c r="C90" s="53" t="s">
        <v>106</v>
      </c>
      <c r="D90" s="54" t="s">
        <v>51</v>
      </c>
      <c r="E90" s="55">
        <v>3</v>
      </c>
      <c r="F90" s="67"/>
      <c r="G90" s="56"/>
      <c r="H90" s="57">
        <f t="shared" si="18"/>
        <v>0</v>
      </c>
    </row>
    <row r="91" spans="1:8" ht="26.25" customHeight="1">
      <c r="A91" s="51">
        <f>A90+1</f>
        <v>49</v>
      </c>
      <c r="B91" s="52"/>
      <c r="C91" s="53" t="s">
        <v>107</v>
      </c>
      <c r="D91" s="54" t="s">
        <v>51</v>
      </c>
      <c r="E91" s="55">
        <v>11</v>
      </c>
      <c r="F91" s="67"/>
      <c r="G91" s="56"/>
      <c r="H91" s="57">
        <f t="shared" si="18"/>
        <v>0</v>
      </c>
    </row>
    <row r="92" spans="1:8" ht="15" customHeight="1">
      <c r="A92" s="51"/>
      <c r="B92" s="59"/>
      <c r="C92" s="73" t="s">
        <v>108</v>
      </c>
      <c r="D92" s="54"/>
      <c r="E92" s="55"/>
      <c r="F92" s="67"/>
      <c r="G92" s="56"/>
      <c r="H92" s="57"/>
    </row>
    <row r="93" spans="1:8" ht="15">
      <c r="A93" s="51">
        <f>A91+1</f>
        <v>50</v>
      </c>
      <c r="B93" s="52"/>
      <c r="C93" s="53" t="s">
        <v>109</v>
      </c>
      <c r="D93" s="54" t="s">
        <v>110</v>
      </c>
      <c r="E93" s="55">
        <v>15</v>
      </c>
      <c r="F93" s="67"/>
      <c r="G93" s="56"/>
      <c r="H93" s="57">
        <f t="shared" si="18"/>
        <v>0</v>
      </c>
    </row>
    <row r="94" spans="1:8" ht="15" customHeight="1">
      <c r="A94" s="51"/>
      <c r="B94" s="59"/>
      <c r="C94" s="73" t="s">
        <v>111</v>
      </c>
      <c r="D94" s="54"/>
      <c r="E94" s="55"/>
      <c r="F94" s="67"/>
      <c r="G94" s="56"/>
      <c r="H94" s="57"/>
    </row>
    <row r="95" spans="1:8" ht="15">
      <c r="A95" s="51">
        <f>A93+1</f>
        <v>51</v>
      </c>
      <c r="B95" s="52"/>
      <c r="C95" s="53" t="s">
        <v>112</v>
      </c>
      <c r="D95" s="54" t="s">
        <v>51</v>
      </c>
      <c r="E95" s="55">
        <v>600</v>
      </c>
      <c r="F95" s="67"/>
      <c r="G95" s="56"/>
      <c r="H95" s="57">
        <f t="shared" si="18"/>
        <v>0</v>
      </c>
    </row>
    <row r="96" spans="1:8" ht="15" customHeight="1">
      <c r="A96" s="51"/>
      <c r="B96" s="59"/>
      <c r="C96" s="73" t="s">
        <v>113</v>
      </c>
      <c r="D96" s="54"/>
      <c r="E96" s="55"/>
      <c r="F96" s="67"/>
      <c r="G96" s="56"/>
      <c r="H96" s="57"/>
    </row>
    <row r="97" spans="1:8" ht="15">
      <c r="A97" s="51">
        <f>A95+1</f>
        <v>52</v>
      </c>
      <c r="B97" s="52"/>
      <c r="C97" s="53" t="s">
        <v>114</v>
      </c>
      <c r="D97" s="54" t="s">
        <v>51</v>
      </c>
      <c r="E97" s="55">
        <v>4</v>
      </c>
      <c r="F97" s="67"/>
      <c r="G97" s="56"/>
      <c r="H97" s="57">
        <f t="shared" si="18"/>
        <v>0</v>
      </c>
    </row>
    <row r="98" spans="1:8" ht="15" customHeight="1">
      <c r="A98" s="51"/>
      <c r="B98" s="59"/>
      <c r="C98" s="73" t="s">
        <v>115</v>
      </c>
      <c r="D98" s="54"/>
      <c r="E98" s="55"/>
      <c r="F98" s="67"/>
      <c r="G98" s="56"/>
      <c r="H98" s="57"/>
    </row>
    <row r="99" spans="1:8" ht="15">
      <c r="A99" s="51">
        <f>A97+1</f>
        <v>53</v>
      </c>
      <c r="B99" s="52"/>
      <c r="C99" s="53" t="s">
        <v>116</v>
      </c>
      <c r="D99" s="54" t="s">
        <v>51</v>
      </c>
      <c r="E99" s="55">
        <v>1</v>
      </c>
      <c r="F99" s="67"/>
      <c r="G99" s="56"/>
      <c r="H99" s="57">
        <f aca="true" t="shared" si="20" ref="H99:H100">F99*E99+G99*E99</f>
        <v>0</v>
      </c>
    </row>
    <row r="100" spans="1:8" ht="15">
      <c r="A100" s="51">
        <f>A99+1</f>
        <v>54</v>
      </c>
      <c r="B100" s="52"/>
      <c r="C100" s="53" t="s">
        <v>117</v>
      </c>
      <c r="D100" s="54" t="s">
        <v>51</v>
      </c>
      <c r="E100" s="55">
        <v>1</v>
      </c>
      <c r="F100" s="67"/>
      <c r="G100" s="56"/>
      <c r="H100" s="57">
        <f t="shared" si="20"/>
        <v>0</v>
      </c>
    </row>
    <row r="101" spans="1:8" ht="15">
      <c r="A101" s="60"/>
      <c r="B101" s="61"/>
      <c r="C101" s="62"/>
      <c r="D101" s="63"/>
      <c r="E101" s="64"/>
      <c r="F101" s="69"/>
      <c r="G101" s="69"/>
      <c r="H101" s="65">
        <f>SUM(H75:H100)</f>
        <v>0</v>
      </c>
    </row>
    <row r="102" spans="1:8" ht="15">
      <c r="A102" s="43"/>
      <c r="B102" s="44"/>
      <c r="C102" s="45" t="s">
        <v>118</v>
      </c>
      <c r="D102" s="46"/>
      <c r="E102" s="47"/>
      <c r="F102" s="48"/>
      <c r="G102"/>
      <c r="H102"/>
    </row>
    <row r="103" spans="1:8" ht="15">
      <c r="A103" s="51">
        <f>A100+1</f>
        <v>55</v>
      </c>
      <c r="B103" s="52"/>
      <c r="C103" s="53" t="s">
        <v>119</v>
      </c>
      <c r="D103" s="54" t="s">
        <v>51</v>
      </c>
      <c r="E103" s="55">
        <v>1</v>
      </c>
      <c r="F103" s="67"/>
      <c r="G103" s="56"/>
      <c r="H103" s="57">
        <f aca="true" t="shared" si="21" ref="H103:H105">F103*E103+G103*E103</f>
        <v>0</v>
      </c>
    </row>
    <row r="104" spans="1:8" ht="15" customHeight="1">
      <c r="A104" s="51"/>
      <c r="B104" s="59"/>
      <c r="C104" s="73" t="s">
        <v>120</v>
      </c>
      <c r="D104" s="54"/>
      <c r="E104" s="55"/>
      <c r="F104" s="67"/>
      <c r="G104" s="56"/>
      <c r="H104" s="57"/>
    </row>
    <row r="105" spans="1:8" ht="15">
      <c r="A105" s="51">
        <f>A103+1</f>
        <v>56</v>
      </c>
      <c r="B105" s="52"/>
      <c r="C105" s="53" t="s">
        <v>121</v>
      </c>
      <c r="D105" s="66" t="s">
        <v>51</v>
      </c>
      <c r="E105" s="55">
        <v>1</v>
      </c>
      <c r="F105" s="67"/>
      <c r="G105" s="56"/>
      <c r="H105" s="57">
        <f t="shared" si="21"/>
        <v>0</v>
      </c>
    </row>
    <row r="106" spans="1:8" ht="15" customHeight="1">
      <c r="A106" s="51"/>
      <c r="B106" s="59"/>
      <c r="C106" s="73" t="s">
        <v>122</v>
      </c>
      <c r="D106" s="54"/>
      <c r="E106" s="55"/>
      <c r="F106" s="67"/>
      <c r="G106" s="56"/>
      <c r="H106" s="57"/>
    </row>
    <row r="107" spans="1:8" ht="15">
      <c r="A107" s="60"/>
      <c r="B107" s="61"/>
      <c r="C107" s="62"/>
      <c r="D107" s="63"/>
      <c r="E107" s="64"/>
      <c r="F107" s="69"/>
      <c r="G107" s="69"/>
      <c r="H107" s="65">
        <f>SUM(H103:H106)</f>
        <v>0</v>
      </c>
    </row>
    <row r="108" spans="1:8" ht="15">
      <c r="A108" s="43"/>
      <c r="B108" s="44"/>
      <c r="C108" s="45" t="s">
        <v>123</v>
      </c>
      <c r="D108" s="46"/>
      <c r="E108" s="47"/>
      <c r="F108" s="48"/>
      <c r="G108" s="48"/>
      <c r="H108"/>
    </row>
    <row r="109" spans="1:8" ht="15">
      <c r="A109" s="51">
        <f>A105+1</f>
        <v>57</v>
      </c>
      <c r="B109" s="52"/>
      <c r="C109" s="53" t="s">
        <v>124</v>
      </c>
      <c r="D109" s="54" t="s">
        <v>51</v>
      </c>
      <c r="E109" s="55">
        <v>5</v>
      </c>
      <c r="F109" s="67"/>
      <c r="G109" s="56"/>
      <c r="H109" s="57">
        <f>F109*E109+G109*E109</f>
        <v>0</v>
      </c>
    </row>
    <row r="110" spans="1:8" ht="15" customHeight="1">
      <c r="A110" s="51"/>
      <c r="B110" s="59"/>
      <c r="C110" s="73" t="s">
        <v>125</v>
      </c>
      <c r="D110" s="54"/>
      <c r="E110" s="55"/>
      <c r="F110" s="67"/>
      <c r="G110" s="56"/>
      <c r="H110" s="57"/>
    </row>
    <row r="111" spans="1:8" ht="15">
      <c r="A111" s="51">
        <f>A109+1</f>
        <v>58</v>
      </c>
      <c r="B111" s="52"/>
      <c r="C111" s="53" t="s">
        <v>126</v>
      </c>
      <c r="D111" s="54" t="s">
        <v>51</v>
      </c>
      <c r="E111" s="55">
        <v>4</v>
      </c>
      <c r="F111" s="67"/>
      <c r="G111" s="56"/>
      <c r="H111" s="57">
        <f>F111*E111+G111*E111</f>
        <v>0</v>
      </c>
    </row>
    <row r="112" spans="1:8" ht="15" customHeight="1">
      <c r="A112" s="51"/>
      <c r="B112" s="59"/>
      <c r="C112" s="73" t="s">
        <v>127</v>
      </c>
      <c r="D112" s="54"/>
      <c r="E112" s="55"/>
      <c r="F112" s="67"/>
      <c r="G112" s="56"/>
      <c r="H112" s="57"/>
    </row>
    <row r="113" spans="1:8" ht="15">
      <c r="A113" s="60"/>
      <c r="B113" s="61"/>
      <c r="C113" s="62"/>
      <c r="D113" s="63"/>
      <c r="E113" s="64"/>
      <c r="F113" s="69"/>
      <c r="G113" s="69"/>
      <c r="H113" s="65">
        <f>SUM(H109:H112)</f>
        <v>0</v>
      </c>
    </row>
    <row r="114" spans="1:8" ht="15">
      <c r="A114" s="43"/>
      <c r="B114" s="44"/>
      <c r="C114" s="45" t="s">
        <v>128</v>
      </c>
      <c r="D114" s="46"/>
      <c r="E114" s="47"/>
      <c r="F114" s="48"/>
      <c r="G114" s="48"/>
      <c r="H114" s="48"/>
    </row>
    <row r="115" spans="1:8" ht="15">
      <c r="A115" s="51">
        <f>A111+1</f>
        <v>59</v>
      </c>
      <c r="B115" s="52"/>
      <c r="C115" s="53" t="s">
        <v>129</v>
      </c>
      <c r="D115" s="54" t="s">
        <v>35</v>
      </c>
      <c r="E115" s="55">
        <v>200</v>
      </c>
      <c r="F115" s="67"/>
      <c r="G115" s="56"/>
      <c r="H115" s="57">
        <f aca="true" t="shared" si="22" ref="H115:H118">F115*E115+G115*E115</f>
        <v>0</v>
      </c>
    </row>
    <row r="116" spans="1:8" ht="15">
      <c r="A116" s="51">
        <f>A115+1</f>
        <v>60</v>
      </c>
      <c r="B116" s="52"/>
      <c r="C116" s="53" t="s">
        <v>130</v>
      </c>
      <c r="D116" s="54" t="s">
        <v>110</v>
      </c>
      <c r="E116" s="55">
        <v>1</v>
      </c>
      <c r="F116" s="67"/>
      <c r="G116" s="56"/>
      <c r="H116" s="57">
        <f t="shared" si="22"/>
        <v>0</v>
      </c>
    </row>
    <row r="117" spans="1:8" ht="15">
      <c r="A117" s="51">
        <f aca="true" t="shared" si="23" ref="A117:A118">A116+1</f>
        <v>61</v>
      </c>
      <c r="B117" s="52"/>
      <c r="C117" s="53" t="s">
        <v>1238</v>
      </c>
      <c r="D117" s="54" t="s">
        <v>110</v>
      </c>
      <c r="E117" s="55">
        <v>1</v>
      </c>
      <c r="F117" s="67"/>
      <c r="G117" s="56"/>
      <c r="H117" s="57">
        <f t="shared" si="22"/>
        <v>0</v>
      </c>
    </row>
    <row r="118" spans="1:8" ht="15">
      <c r="A118" s="51">
        <f t="shared" si="23"/>
        <v>62</v>
      </c>
      <c r="B118" s="52"/>
      <c r="C118" s="53" t="s">
        <v>131</v>
      </c>
      <c r="D118" s="54" t="s">
        <v>110</v>
      </c>
      <c r="E118" s="55">
        <v>1</v>
      </c>
      <c r="F118" s="56"/>
      <c r="G118" s="56"/>
      <c r="H118" s="57">
        <f t="shared" si="22"/>
        <v>0</v>
      </c>
    </row>
    <row r="119" spans="6:8" ht="15">
      <c r="F119" s="85"/>
      <c r="G119" s="85"/>
      <c r="H119" s="85">
        <f>SUM(H115:H118)</f>
        <v>0</v>
      </c>
    </row>
    <row r="120" spans="6:8" ht="15">
      <c r="F120" s="85"/>
      <c r="G120" s="85"/>
      <c r="H120" s="85"/>
    </row>
    <row r="121" spans="3:11" ht="15">
      <c r="C121" s="86" t="s">
        <v>132</v>
      </c>
      <c r="F121" s="87"/>
      <c r="G121" s="87"/>
      <c r="H121" s="87">
        <f>H119+H113+H101+H73+H58+H36+H18+H107</f>
        <v>0</v>
      </c>
      <c r="J121" s="88"/>
      <c r="K121" s="87"/>
    </row>
    <row r="122" spans="3:8" ht="15.75" thickBot="1">
      <c r="C122" s="89" t="s">
        <v>15</v>
      </c>
      <c r="D122" s="90"/>
      <c r="E122" s="91"/>
      <c r="F122" s="90"/>
      <c r="G122" s="90"/>
      <c r="H122" s="90">
        <f>0.21*H121</f>
        <v>0</v>
      </c>
    </row>
    <row r="123" spans="3:8" ht="15.75" thickTop="1">
      <c r="C123" s="86" t="s">
        <v>133</v>
      </c>
      <c r="F123" s="87"/>
      <c r="G123" s="87"/>
      <c r="H123" s="87">
        <f>H121+H122</f>
        <v>0</v>
      </c>
    </row>
    <row r="125" spans="1:8" ht="58.5" customHeight="1">
      <c r="A125" s="700"/>
      <c r="B125" s="700"/>
      <c r="C125" s="700"/>
      <c r="D125" s="700"/>
      <c r="E125" s="700"/>
      <c r="F125" s="700"/>
      <c r="G125" s="700"/>
      <c r="H125" s="700"/>
    </row>
  </sheetData>
  <mergeCells count="1">
    <mergeCell ref="A125:H1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3" r:id="rId1"/>
  <rowBreaks count="2" manualBreakCount="2">
    <brk id="5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22FD-EB85-4E29-99CA-5AE162244FD0}">
  <sheetPr>
    <pageSetUpPr fitToPage="1"/>
  </sheetPr>
  <dimension ref="A1:I37"/>
  <sheetViews>
    <sheetView showOutlineSymbols="0" workbookViewId="0" topLeftCell="A4">
      <selection activeCell="F17" sqref="F17"/>
    </sheetView>
  </sheetViews>
  <sheetFormatPr defaultColWidth="12.140625" defaultRowHeight="15" customHeight="1"/>
  <cols>
    <col min="1" max="2" width="12.140625" style="136" customWidth="1"/>
    <col min="3" max="3" width="20.7109375" style="136" customWidth="1"/>
    <col min="4" max="5" width="12.140625" style="136" customWidth="1"/>
    <col min="6" max="6" width="36.421875" style="136" customWidth="1"/>
    <col min="7" max="8" width="12.140625" style="136" customWidth="1"/>
    <col min="9" max="9" width="26.8515625" style="136" customWidth="1"/>
    <col min="10" max="16384" width="12.140625" style="136" customWidth="1"/>
  </cols>
  <sheetData>
    <row r="1" spans="1:9" ht="54.75" customHeight="1">
      <c r="A1" s="557" t="s">
        <v>178</v>
      </c>
      <c r="B1" s="558"/>
      <c r="C1" s="558"/>
      <c r="D1" s="558"/>
      <c r="E1" s="558"/>
      <c r="F1" s="558"/>
      <c r="G1" s="558"/>
      <c r="H1" s="558"/>
      <c r="I1" s="558"/>
    </row>
    <row r="2" spans="1:9" ht="15" customHeight="1">
      <c r="A2" s="559" t="s">
        <v>1</v>
      </c>
      <c r="B2" s="560"/>
      <c r="C2" s="561" t="str">
        <f>'[1]Stavební rozpočet'!C2</f>
        <v>Karlovy Vary, Sady Karla IV.-revitalizace veřejného prostranství</v>
      </c>
      <c r="D2" s="562"/>
      <c r="E2" s="564" t="s">
        <v>3</v>
      </c>
      <c r="F2" s="564" t="str">
        <f>'[1]Stavební rozpočet'!I2</f>
        <v>Statutární město Karlovy Vary</v>
      </c>
      <c r="G2" s="560"/>
      <c r="H2" s="564" t="s">
        <v>179</v>
      </c>
      <c r="I2" s="565" t="s">
        <v>180</v>
      </c>
    </row>
    <row r="3" spans="1:9" ht="15" customHeight="1">
      <c r="A3" s="552"/>
      <c r="B3" s="521"/>
      <c r="C3" s="563"/>
      <c r="D3" s="563"/>
      <c r="E3" s="521"/>
      <c r="F3" s="521"/>
      <c r="G3" s="521"/>
      <c r="H3" s="521"/>
      <c r="I3" s="554"/>
    </row>
    <row r="4" spans="1:9" ht="15" customHeight="1">
      <c r="A4" s="551" t="s">
        <v>181</v>
      </c>
      <c r="B4" s="521"/>
      <c r="C4" s="520" t="str">
        <f>'[1]Stavební rozpočet'!C4</f>
        <v>SO 01 Komunikace a zpevněné plochy-mlat</v>
      </c>
      <c r="D4" s="521"/>
      <c r="E4" s="520" t="s">
        <v>182</v>
      </c>
      <c r="F4" s="520" t="str">
        <f>'[1]Stavební rozpočet'!I4</f>
        <v>Ing. Přemysl Krejčiřík, Ph.D.</v>
      </c>
      <c r="G4" s="521"/>
      <c r="H4" s="520" t="s">
        <v>179</v>
      </c>
      <c r="I4" s="554" t="s">
        <v>183</v>
      </c>
    </row>
    <row r="5" spans="1:9" ht="15" customHeight="1">
      <c r="A5" s="552"/>
      <c r="B5" s="521"/>
      <c r="C5" s="521"/>
      <c r="D5" s="521"/>
      <c r="E5" s="521"/>
      <c r="F5" s="521"/>
      <c r="G5" s="521"/>
      <c r="H5" s="521"/>
      <c r="I5" s="554"/>
    </row>
    <row r="6" spans="1:9" ht="15" customHeight="1">
      <c r="A6" s="551" t="s">
        <v>2</v>
      </c>
      <c r="B6" s="521"/>
      <c r="C6" s="520" t="str">
        <f>'[1]Stavební rozpočet'!C6</f>
        <v>Karlovy Vary</v>
      </c>
      <c r="D6" s="521"/>
      <c r="E6" s="520" t="s">
        <v>184</v>
      </c>
      <c r="F6" s="520" t="str">
        <f>'[1]Stavební rozpočet'!I6</f>
        <v> </v>
      </c>
      <c r="G6" s="521"/>
      <c r="H6" s="520" t="s">
        <v>179</v>
      </c>
      <c r="I6" s="554" t="s">
        <v>180</v>
      </c>
    </row>
    <row r="7" spans="1:9" ht="15" customHeight="1">
      <c r="A7" s="552"/>
      <c r="B7" s="521"/>
      <c r="C7" s="521"/>
      <c r="D7" s="521"/>
      <c r="E7" s="521"/>
      <c r="F7" s="521"/>
      <c r="G7" s="521"/>
      <c r="H7" s="521"/>
      <c r="I7" s="554"/>
    </row>
    <row r="8" spans="1:9" ht="15" customHeight="1">
      <c r="A8" s="551" t="s">
        <v>185</v>
      </c>
      <c r="B8" s="521"/>
      <c r="C8" s="520" t="str">
        <f>'[1]Stavební rozpočet'!G4</f>
        <v xml:space="preserve"> </v>
      </c>
      <c r="D8" s="521"/>
      <c r="E8" s="520" t="s">
        <v>186</v>
      </c>
      <c r="F8" s="520" t="str">
        <f>'[1]Stavební rozpočet'!G6</f>
        <v xml:space="preserve"> </v>
      </c>
      <c r="G8" s="521"/>
      <c r="H8" s="521" t="s">
        <v>187</v>
      </c>
      <c r="I8" s="553">
        <v>56</v>
      </c>
    </row>
    <row r="9" spans="1:9" ht="15" customHeight="1">
      <c r="A9" s="552"/>
      <c r="B9" s="521"/>
      <c r="C9" s="521"/>
      <c r="D9" s="521"/>
      <c r="E9" s="521"/>
      <c r="F9" s="521"/>
      <c r="G9" s="521"/>
      <c r="H9" s="521"/>
      <c r="I9" s="554"/>
    </row>
    <row r="10" spans="1:9" ht="15" customHeight="1">
      <c r="A10" s="551" t="s">
        <v>188</v>
      </c>
      <c r="B10" s="521"/>
      <c r="C10" s="520" t="str">
        <f>'[1]Stavební rozpočet'!C8</f>
        <v xml:space="preserve"> </v>
      </c>
      <c r="D10" s="521"/>
      <c r="E10" s="520" t="s">
        <v>189</v>
      </c>
      <c r="F10" s="520" t="str">
        <f>'[1]Stavební rozpočet'!I8</f>
        <v>Ing. Aneta Dalajková</v>
      </c>
      <c r="G10" s="521"/>
      <c r="H10" s="521" t="s">
        <v>4</v>
      </c>
      <c r="I10" s="549" t="str">
        <f>'[1]Stavební rozpočet'!G8</f>
        <v>18.12.2023</v>
      </c>
    </row>
    <row r="11" spans="1:9" ht="15" customHeight="1">
      <c r="A11" s="555"/>
      <c r="B11" s="556"/>
      <c r="C11" s="556"/>
      <c r="D11" s="556"/>
      <c r="E11" s="556"/>
      <c r="F11" s="556"/>
      <c r="G11" s="556"/>
      <c r="H11" s="556"/>
      <c r="I11" s="550"/>
    </row>
    <row r="12" spans="1:9" ht="22.5" customHeight="1">
      <c r="A12" s="546" t="s">
        <v>190</v>
      </c>
      <c r="B12" s="546"/>
      <c r="C12" s="546"/>
      <c r="D12" s="546"/>
      <c r="E12" s="546"/>
      <c r="F12" s="546"/>
      <c r="G12" s="546"/>
      <c r="H12" s="546"/>
      <c r="I12" s="546"/>
    </row>
    <row r="13" spans="1:9" ht="26.25" customHeight="1">
      <c r="A13" s="139" t="s">
        <v>191</v>
      </c>
      <c r="B13" s="547" t="s">
        <v>192</v>
      </c>
      <c r="C13" s="548"/>
      <c r="D13" s="140" t="s">
        <v>193</v>
      </c>
      <c r="E13" s="547" t="s">
        <v>194</v>
      </c>
      <c r="F13" s="548"/>
      <c r="G13" s="140" t="s">
        <v>195</v>
      </c>
      <c r="H13" s="547" t="s">
        <v>196</v>
      </c>
      <c r="I13" s="548"/>
    </row>
    <row r="14" spans="1:9" ht="15" customHeight="1">
      <c r="A14" s="141" t="s">
        <v>197</v>
      </c>
      <c r="B14" s="142" t="s">
        <v>198</v>
      </c>
      <c r="C14" s="143">
        <f>SUM('[1]Stavební rozpočet'!AB12:AB110)</f>
        <v>0</v>
      </c>
      <c r="D14" s="544"/>
      <c r="E14" s="545"/>
      <c r="F14" s="143"/>
      <c r="G14" s="544"/>
      <c r="H14" s="545"/>
      <c r="I14" s="144"/>
    </row>
    <row r="15" spans="1:9" ht="15" customHeight="1">
      <c r="A15" s="145" t="s">
        <v>180</v>
      </c>
      <c r="B15" s="142" t="s">
        <v>200</v>
      </c>
      <c r="C15" s="143">
        <f>SUM('[1]Stavební rozpočet'!AC12:AC110)</f>
        <v>0</v>
      </c>
      <c r="D15" s="544"/>
      <c r="E15" s="545"/>
      <c r="F15" s="143"/>
      <c r="G15" s="544"/>
      <c r="H15" s="545"/>
      <c r="I15" s="144"/>
    </row>
    <row r="16" spans="1:9" ht="15" customHeight="1">
      <c r="A16" s="141" t="s">
        <v>201</v>
      </c>
      <c r="B16" s="142" t="s">
        <v>198</v>
      </c>
      <c r="C16" s="143">
        <f>SUM('[1]Stavební rozpočet'!AD12:AD110)</f>
        <v>0</v>
      </c>
      <c r="D16" s="544" t="s">
        <v>180</v>
      </c>
      <c r="E16" s="545"/>
      <c r="F16" s="143"/>
      <c r="G16" s="544"/>
      <c r="H16" s="545"/>
      <c r="I16" s="144"/>
    </row>
    <row r="17" spans="1:9" ht="15" customHeight="1">
      <c r="A17" s="145" t="s">
        <v>180</v>
      </c>
      <c r="B17" s="142" t="s">
        <v>200</v>
      </c>
      <c r="C17" s="143">
        <f>SUM('[1]Stavební rozpočet'!AE12:AE110)</f>
        <v>0</v>
      </c>
      <c r="D17" s="544" t="s">
        <v>180</v>
      </c>
      <c r="E17" s="545"/>
      <c r="F17" s="144" t="s">
        <v>180</v>
      </c>
      <c r="G17" s="544"/>
      <c r="H17" s="545"/>
      <c r="I17" s="144"/>
    </row>
    <row r="18" spans="1:9" ht="15" customHeight="1">
      <c r="A18" s="141" t="s">
        <v>202</v>
      </c>
      <c r="B18" s="142" t="s">
        <v>198</v>
      </c>
      <c r="C18" s="143">
        <f>SUM('[1]Stavební rozpočet'!AF12:AF110)</f>
        <v>0</v>
      </c>
      <c r="D18" s="544" t="s">
        <v>180</v>
      </c>
      <c r="E18" s="545"/>
      <c r="F18" s="144" t="s">
        <v>180</v>
      </c>
      <c r="G18" s="544"/>
      <c r="H18" s="545"/>
      <c r="I18" s="144"/>
    </row>
    <row r="19" spans="1:9" ht="15" customHeight="1">
      <c r="A19" s="145" t="s">
        <v>180</v>
      </c>
      <c r="B19" s="142" t="s">
        <v>200</v>
      </c>
      <c r="C19" s="143">
        <f>SUM('[1]Stavební rozpočet'!AG12:AG110)</f>
        <v>0</v>
      </c>
      <c r="D19" s="544" t="s">
        <v>180</v>
      </c>
      <c r="E19" s="545"/>
      <c r="F19" s="144" t="s">
        <v>180</v>
      </c>
      <c r="G19" s="544"/>
      <c r="H19" s="545"/>
      <c r="I19" s="144"/>
    </row>
    <row r="20" spans="1:9" ht="15" customHeight="1">
      <c r="A20" s="540" t="s">
        <v>203</v>
      </c>
      <c r="B20" s="541"/>
      <c r="C20" s="143">
        <f>SUM('[1]Stavební rozpočet'!AH12:AH110)</f>
        <v>0</v>
      </c>
      <c r="D20" s="544" t="s">
        <v>180</v>
      </c>
      <c r="E20" s="545"/>
      <c r="F20" s="144" t="s">
        <v>180</v>
      </c>
      <c r="G20" s="544" t="s">
        <v>180</v>
      </c>
      <c r="H20" s="545"/>
      <c r="I20" s="144" t="s">
        <v>180</v>
      </c>
    </row>
    <row r="21" spans="1:9" ht="15" customHeight="1">
      <c r="A21" s="534" t="s">
        <v>204</v>
      </c>
      <c r="B21" s="535"/>
      <c r="C21" s="146">
        <f>SUM('[1]Stavební rozpočet'!Z12:Z110)</f>
        <v>0</v>
      </c>
      <c r="D21" s="523" t="s">
        <v>180</v>
      </c>
      <c r="E21" s="536"/>
      <c r="F21" s="147" t="s">
        <v>180</v>
      </c>
      <c r="G21" s="523" t="s">
        <v>180</v>
      </c>
      <c r="H21" s="536"/>
      <c r="I21" s="147" t="s">
        <v>180</v>
      </c>
    </row>
    <row r="22" spans="1:9" ht="16.5" customHeight="1">
      <c r="A22" s="537" t="s">
        <v>205</v>
      </c>
      <c r="B22" s="538"/>
      <c r="C22" s="148">
        <f>SUM(C14:C21)</f>
        <v>0</v>
      </c>
      <c r="D22" s="539" t="s">
        <v>206</v>
      </c>
      <c r="E22" s="538"/>
      <c r="F22" s="148">
        <f>SUM(F14:F21)</f>
        <v>0</v>
      </c>
      <c r="G22" s="539" t="s">
        <v>207</v>
      </c>
      <c r="H22" s="538"/>
      <c r="I22" s="148">
        <f>SUM(I14:I21)</f>
        <v>0</v>
      </c>
    </row>
    <row r="23" spans="4:9" ht="15" customHeight="1" thickBot="1">
      <c r="D23" s="540" t="s">
        <v>208</v>
      </c>
      <c r="E23" s="541"/>
      <c r="F23" s="149">
        <v>0</v>
      </c>
      <c r="G23" s="542" t="s">
        <v>209</v>
      </c>
      <c r="H23" s="541"/>
      <c r="I23" s="143">
        <v>0</v>
      </c>
    </row>
    <row r="24" spans="7:9" ht="15" customHeight="1">
      <c r="G24" s="540" t="s">
        <v>210</v>
      </c>
      <c r="H24" s="541"/>
      <c r="I24" s="146">
        <f>vorn_sum</f>
        <v>0</v>
      </c>
    </row>
    <row r="25" spans="7:9" ht="15" customHeight="1">
      <c r="G25" s="540" t="s">
        <v>211</v>
      </c>
      <c r="H25" s="541"/>
      <c r="I25" s="148">
        <v>0</v>
      </c>
    </row>
    <row r="27" spans="1:3" ht="15" customHeight="1">
      <c r="A27" s="543" t="s">
        <v>212</v>
      </c>
      <c r="B27" s="533"/>
      <c r="C27" s="150">
        <f>SUM('[1]Stavební rozpočet'!AJ12:AJ110)</f>
        <v>0</v>
      </c>
    </row>
    <row r="28" spans="1:9" ht="15" customHeight="1">
      <c r="A28" s="528" t="s">
        <v>1240</v>
      </c>
      <c r="B28" s="529"/>
      <c r="C28" s="151">
        <f>SUM('[1]Stavební rozpočet'!AK12:AK110)</f>
        <v>0</v>
      </c>
      <c r="D28" s="533" t="s">
        <v>1239</v>
      </c>
      <c r="E28" s="533"/>
      <c r="F28" s="150">
        <f>ROUND(C28*(12/100),2)</f>
        <v>0</v>
      </c>
      <c r="G28" s="533" t="s">
        <v>213</v>
      </c>
      <c r="H28" s="533"/>
      <c r="I28" s="150">
        <f>SUM(C27:C29)</f>
        <v>0</v>
      </c>
    </row>
    <row r="29" spans="1:9" ht="15" customHeight="1">
      <c r="A29" s="528" t="s">
        <v>214</v>
      </c>
      <c r="B29" s="529"/>
      <c r="C29" s="151">
        <f>SUM('[1]Stavební rozpočet'!AL12:AL110)+(F22+I22+F23+I23+I24+I25)</f>
        <v>0</v>
      </c>
      <c r="D29" s="529" t="s">
        <v>15</v>
      </c>
      <c r="E29" s="529"/>
      <c r="F29" s="151">
        <f>ROUND(C29*(21/100),2)</f>
        <v>0</v>
      </c>
      <c r="G29" s="529" t="s">
        <v>215</v>
      </c>
      <c r="H29" s="529"/>
      <c r="I29" s="151">
        <f>SUM(F28:F29)+I28</f>
        <v>0</v>
      </c>
    </row>
    <row r="31" spans="1:9" ht="15" customHeight="1">
      <c r="A31" s="530" t="s">
        <v>216</v>
      </c>
      <c r="B31" s="531"/>
      <c r="C31" s="532"/>
      <c r="D31" s="531" t="s">
        <v>217</v>
      </c>
      <c r="E31" s="531"/>
      <c r="F31" s="532"/>
      <c r="G31" s="531" t="s">
        <v>218</v>
      </c>
      <c r="H31" s="531"/>
      <c r="I31" s="532"/>
    </row>
    <row r="32" spans="1:9" ht="15" customHeight="1">
      <c r="A32" s="522" t="s">
        <v>180</v>
      </c>
      <c r="B32" s="523"/>
      <c r="C32" s="524"/>
      <c r="D32" s="523" t="s">
        <v>180</v>
      </c>
      <c r="E32" s="523"/>
      <c r="F32" s="524"/>
      <c r="G32" s="523" t="s">
        <v>180</v>
      </c>
      <c r="H32" s="523"/>
      <c r="I32" s="524"/>
    </row>
    <row r="33" spans="1:9" ht="15" customHeight="1">
      <c r="A33" s="522" t="s">
        <v>180</v>
      </c>
      <c r="B33" s="523"/>
      <c r="C33" s="524"/>
      <c r="D33" s="523" t="s">
        <v>180</v>
      </c>
      <c r="E33" s="523"/>
      <c r="F33" s="524"/>
      <c r="G33" s="523" t="s">
        <v>180</v>
      </c>
      <c r="H33" s="523"/>
      <c r="I33" s="524"/>
    </row>
    <row r="34" spans="1:9" ht="15" customHeight="1">
      <c r="A34" s="522" t="s">
        <v>180</v>
      </c>
      <c r="B34" s="523"/>
      <c r="C34" s="524"/>
      <c r="D34" s="523" t="s">
        <v>180</v>
      </c>
      <c r="E34" s="523"/>
      <c r="F34" s="524"/>
      <c r="G34" s="523" t="s">
        <v>180</v>
      </c>
      <c r="H34" s="523"/>
      <c r="I34" s="524"/>
    </row>
    <row r="35" spans="1:9" ht="15" customHeight="1" thickBot="1">
      <c r="A35" s="525" t="s">
        <v>219</v>
      </c>
      <c r="B35" s="526"/>
      <c r="C35" s="527"/>
      <c r="D35" s="526" t="s">
        <v>219</v>
      </c>
      <c r="E35" s="526"/>
      <c r="F35" s="527"/>
      <c r="G35" s="526" t="s">
        <v>219</v>
      </c>
      <c r="H35" s="526"/>
      <c r="I35" s="527"/>
    </row>
    <row r="36" ht="15" customHeight="1">
      <c r="A36" s="152" t="s">
        <v>220</v>
      </c>
    </row>
    <row r="37" spans="1:9" ht="12.75" customHeight="1">
      <c r="A37" s="520" t="s">
        <v>180</v>
      </c>
      <c r="B37" s="521"/>
      <c r="C37" s="521"/>
      <c r="D37" s="521"/>
      <c r="E37" s="521"/>
      <c r="F37" s="521"/>
      <c r="G37" s="521"/>
      <c r="H37" s="521"/>
      <c r="I37" s="521"/>
    </row>
  </sheetData>
  <mergeCells count="83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6B20-2290-4D6A-B4DC-38082E615A3C}">
  <sheetPr>
    <pageSetUpPr fitToPage="1"/>
  </sheetPr>
  <dimension ref="A1:BW113"/>
  <sheetViews>
    <sheetView showOutlineSymbols="0" workbookViewId="0" topLeftCell="A1">
      <pane ySplit="11" topLeftCell="A12" activePane="bottomLeft" state="frozen"/>
      <selection pane="topLeft" activeCell="A113" sqref="A113:K113"/>
      <selection pane="bottomLeft" activeCell="G31" sqref="G31"/>
    </sheetView>
  </sheetViews>
  <sheetFormatPr defaultColWidth="12.140625" defaultRowHeight="15" customHeight="1"/>
  <cols>
    <col min="1" max="3" width="12.140625" style="136" customWidth="1"/>
    <col min="4" max="4" width="75.7109375" style="136" customWidth="1"/>
    <col min="5" max="16384" width="12.140625" style="136" customWidth="1"/>
  </cols>
  <sheetData>
    <row r="1" spans="1:47" ht="54.75" customHeight="1">
      <c r="A1" s="558" t="s">
        <v>221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AS1" s="153">
        <f>SUM(AJ1:AJ2)</f>
        <v>0</v>
      </c>
      <c r="AT1" s="153">
        <f>SUM(AK1:AK2)</f>
        <v>0</v>
      </c>
      <c r="AU1" s="153">
        <f>SUM(AL1:AL2)</f>
        <v>0</v>
      </c>
    </row>
    <row r="2" spans="1:11" ht="15" customHeight="1">
      <c r="A2" s="559" t="s">
        <v>1</v>
      </c>
      <c r="B2" s="560"/>
      <c r="C2" s="561" t="s">
        <v>222</v>
      </c>
      <c r="D2" s="562"/>
      <c r="E2" s="560" t="s">
        <v>223</v>
      </c>
      <c r="F2" s="560"/>
      <c r="G2" s="560" t="s">
        <v>224</v>
      </c>
      <c r="H2" s="564" t="s">
        <v>3</v>
      </c>
      <c r="I2" s="564" t="s">
        <v>7</v>
      </c>
      <c r="J2" s="560"/>
      <c r="K2" s="565"/>
    </row>
    <row r="3" spans="1:11" ht="15" customHeight="1">
      <c r="A3" s="552"/>
      <c r="B3" s="521"/>
      <c r="C3" s="563"/>
      <c r="D3" s="563"/>
      <c r="E3" s="521"/>
      <c r="F3" s="521"/>
      <c r="G3" s="521"/>
      <c r="H3" s="521"/>
      <c r="I3" s="521"/>
      <c r="J3" s="521"/>
      <c r="K3" s="554"/>
    </row>
    <row r="4" spans="1:11" ht="15" customHeight="1">
      <c r="A4" s="551" t="s">
        <v>181</v>
      </c>
      <c r="B4" s="521"/>
      <c r="C4" s="520" t="s">
        <v>403</v>
      </c>
      <c r="D4" s="521"/>
      <c r="E4" s="521" t="s">
        <v>185</v>
      </c>
      <c r="F4" s="521"/>
      <c r="G4" s="521" t="s">
        <v>224</v>
      </c>
      <c r="H4" s="520" t="s">
        <v>182</v>
      </c>
      <c r="I4" s="520" t="s">
        <v>225</v>
      </c>
      <c r="J4" s="521"/>
      <c r="K4" s="554"/>
    </row>
    <row r="5" spans="1:11" ht="15" customHeight="1">
      <c r="A5" s="552"/>
      <c r="B5" s="521"/>
      <c r="C5" s="521"/>
      <c r="D5" s="521"/>
      <c r="E5" s="521"/>
      <c r="F5" s="521"/>
      <c r="G5" s="521"/>
      <c r="H5" s="521"/>
      <c r="I5" s="521"/>
      <c r="J5" s="521"/>
      <c r="K5" s="554"/>
    </row>
    <row r="6" spans="1:11" ht="15" customHeight="1">
      <c r="A6" s="551" t="s">
        <v>2</v>
      </c>
      <c r="B6" s="521"/>
      <c r="C6" s="520" t="s">
        <v>226</v>
      </c>
      <c r="D6" s="521"/>
      <c r="E6" s="521" t="s">
        <v>186</v>
      </c>
      <c r="F6" s="521"/>
      <c r="G6" s="521" t="s">
        <v>224</v>
      </c>
      <c r="H6" s="520" t="s">
        <v>184</v>
      </c>
      <c r="I6" s="521" t="s">
        <v>227</v>
      </c>
      <c r="J6" s="521"/>
      <c r="K6" s="554"/>
    </row>
    <row r="7" spans="1:11" ht="15" customHeight="1">
      <c r="A7" s="552"/>
      <c r="B7" s="521"/>
      <c r="C7" s="521"/>
      <c r="D7" s="521"/>
      <c r="E7" s="521"/>
      <c r="F7" s="521"/>
      <c r="G7" s="521"/>
      <c r="H7" s="521"/>
      <c r="I7" s="521"/>
      <c r="J7" s="521"/>
      <c r="K7" s="554"/>
    </row>
    <row r="8" spans="1:11" ht="15" customHeight="1">
      <c r="A8" s="551" t="s">
        <v>188</v>
      </c>
      <c r="B8" s="521"/>
      <c r="C8" s="520" t="s">
        <v>224</v>
      </c>
      <c r="D8" s="521"/>
      <c r="E8" s="521" t="s">
        <v>228</v>
      </c>
      <c r="F8" s="521"/>
      <c r="G8" s="521" t="s">
        <v>229</v>
      </c>
      <c r="H8" s="520" t="s">
        <v>189</v>
      </c>
      <c r="I8" s="520" t="s">
        <v>230</v>
      </c>
      <c r="J8" s="521"/>
      <c r="K8" s="554"/>
    </row>
    <row r="9" spans="1:11" ht="15" customHeight="1" thickBot="1">
      <c r="A9" s="552"/>
      <c r="B9" s="521"/>
      <c r="C9" s="521"/>
      <c r="D9" s="521"/>
      <c r="E9" s="521"/>
      <c r="F9" s="521"/>
      <c r="G9" s="521"/>
      <c r="H9" s="521"/>
      <c r="I9" s="521"/>
      <c r="J9" s="521"/>
      <c r="K9" s="554"/>
    </row>
    <row r="10" spans="1:75" ht="15" customHeight="1">
      <c r="A10" s="154" t="s">
        <v>231</v>
      </c>
      <c r="B10" s="155" t="s">
        <v>23</v>
      </c>
      <c r="C10" s="576" t="s">
        <v>232</v>
      </c>
      <c r="D10" s="577"/>
      <c r="E10" s="155" t="s">
        <v>25</v>
      </c>
      <c r="F10" s="156" t="s">
        <v>233</v>
      </c>
      <c r="G10" s="157" t="s">
        <v>234</v>
      </c>
      <c r="H10" s="578" t="s">
        <v>235</v>
      </c>
      <c r="I10" s="579"/>
      <c r="J10" s="580"/>
      <c r="K10" s="156" t="s">
        <v>236</v>
      </c>
      <c r="BK10" s="158" t="s">
        <v>237</v>
      </c>
      <c r="BL10" s="159" t="s">
        <v>238</v>
      </c>
      <c r="BW10" s="159" t="s">
        <v>239</v>
      </c>
    </row>
    <row r="11" spans="1:62" ht="15" customHeight="1" thickBot="1">
      <c r="A11" s="160" t="s">
        <v>224</v>
      </c>
      <c r="B11" s="161" t="s">
        <v>224</v>
      </c>
      <c r="C11" s="581" t="s">
        <v>240</v>
      </c>
      <c r="D11" s="582"/>
      <c r="E11" s="161" t="s">
        <v>224</v>
      </c>
      <c r="F11" s="161" t="s">
        <v>224</v>
      </c>
      <c r="G11" s="162" t="s">
        <v>241</v>
      </c>
      <c r="H11" s="163" t="s">
        <v>242</v>
      </c>
      <c r="I11" s="164" t="s">
        <v>200</v>
      </c>
      <c r="J11" s="165" t="s">
        <v>243</v>
      </c>
      <c r="K11" s="164" t="s">
        <v>244</v>
      </c>
      <c r="Z11" s="158" t="s">
        <v>245</v>
      </c>
      <c r="AA11" s="158" t="s">
        <v>246</v>
      </c>
      <c r="AB11" s="158" t="s">
        <v>247</v>
      </c>
      <c r="AC11" s="158" t="s">
        <v>248</v>
      </c>
      <c r="AD11" s="158" t="s">
        <v>249</v>
      </c>
      <c r="AE11" s="158" t="s">
        <v>250</v>
      </c>
      <c r="AF11" s="158" t="s">
        <v>251</v>
      </c>
      <c r="AG11" s="158" t="s">
        <v>252</v>
      </c>
      <c r="AH11" s="158" t="s">
        <v>253</v>
      </c>
      <c r="BH11" s="158" t="s">
        <v>254</v>
      </c>
      <c r="BI11" s="158" t="s">
        <v>255</v>
      </c>
      <c r="BJ11" s="158" t="s">
        <v>256</v>
      </c>
    </row>
    <row r="12" spans="1:11" ht="15" customHeight="1">
      <c r="A12" s="166" t="s">
        <v>180</v>
      </c>
      <c r="B12" s="167" t="s">
        <v>180</v>
      </c>
      <c r="C12" s="574" t="s">
        <v>404</v>
      </c>
      <c r="D12" s="575"/>
      <c r="E12" s="168" t="s">
        <v>224</v>
      </c>
      <c r="F12" s="168" t="s">
        <v>224</v>
      </c>
      <c r="G12" s="168" t="s">
        <v>224</v>
      </c>
      <c r="H12" s="169">
        <f>H13+H15+H17</f>
        <v>0</v>
      </c>
      <c r="I12" s="169">
        <f>I13+I15+I17</f>
        <v>0</v>
      </c>
      <c r="J12" s="169">
        <f>J13+J15+J17</f>
        <v>0</v>
      </c>
      <c r="K12" s="170" t="s">
        <v>180</v>
      </c>
    </row>
    <row r="13" spans="1:47" ht="15" customHeight="1">
      <c r="A13" s="171" t="s">
        <v>180</v>
      </c>
      <c r="B13" s="172" t="s">
        <v>257</v>
      </c>
      <c r="C13" s="566" t="s">
        <v>258</v>
      </c>
      <c r="D13" s="567"/>
      <c r="E13" s="173" t="s">
        <v>224</v>
      </c>
      <c r="F13" s="173" t="s">
        <v>224</v>
      </c>
      <c r="G13" s="173" t="s">
        <v>224</v>
      </c>
      <c r="H13" s="153">
        <f>SUM(H14:H14)</f>
        <v>0</v>
      </c>
      <c r="I13" s="153">
        <f>SUM(I14:I14)</f>
        <v>0</v>
      </c>
      <c r="J13" s="153">
        <f>SUM(J14:J14)</f>
        <v>0</v>
      </c>
      <c r="K13" s="174" t="s">
        <v>180</v>
      </c>
      <c r="AI13" s="158" t="s">
        <v>259</v>
      </c>
      <c r="AS13" s="153">
        <f>SUM(AJ14:AJ14)</f>
        <v>0</v>
      </c>
      <c r="AT13" s="153">
        <f>SUM(AK14:AK14)</f>
        <v>0</v>
      </c>
      <c r="AU13" s="153">
        <f>SUM(AL14:AL14)</f>
        <v>0</v>
      </c>
    </row>
    <row r="14" spans="1:75" ht="13.5" customHeight="1">
      <c r="A14" s="137" t="s">
        <v>260</v>
      </c>
      <c r="B14" s="138" t="s">
        <v>405</v>
      </c>
      <c r="C14" s="520" t="s">
        <v>406</v>
      </c>
      <c r="D14" s="521"/>
      <c r="E14" s="138" t="s">
        <v>261</v>
      </c>
      <c r="F14" s="175">
        <v>821</v>
      </c>
      <c r="G14" s="175">
        <v>0</v>
      </c>
      <c r="H14" s="175">
        <f>F14*AO14</f>
        <v>0</v>
      </c>
      <c r="I14" s="175">
        <f>F14*AP14</f>
        <v>0</v>
      </c>
      <c r="J14" s="175">
        <f>F14*G14</f>
        <v>0</v>
      </c>
      <c r="K14" s="176" t="s">
        <v>262</v>
      </c>
      <c r="Z14" s="175">
        <f>IF(AQ14="5",BJ14,0)</f>
        <v>0</v>
      </c>
      <c r="AB14" s="175">
        <f>IF(AQ14="1",BH14,0)</f>
        <v>0</v>
      </c>
      <c r="AC14" s="175">
        <f>IF(AQ14="1",BI14,0)</f>
        <v>0</v>
      </c>
      <c r="AD14" s="175">
        <f>IF(AQ14="7",BH14,0)</f>
        <v>0</v>
      </c>
      <c r="AE14" s="175">
        <f>IF(AQ14="7",BI14,0)</f>
        <v>0</v>
      </c>
      <c r="AF14" s="175">
        <f>IF(AQ14="2",BH14,0)</f>
        <v>0</v>
      </c>
      <c r="AG14" s="175">
        <f>IF(AQ14="2",BI14,0)</f>
        <v>0</v>
      </c>
      <c r="AH14" s="175">
        <f>IF(AQ14="0",BJ14,0)</f>
        <v>0</v>
      </c>
      <c r="AI14" s="158" t="s">
        <v>259</v>
      </c>
      <c r="AJ14" s="175">
        <f>IF(AN14=0,J14,0)</f>
        <v>0</v>
      </c>
      <c r="AK14" s="175">
        <f>IF(AN14=12,J14,0)</f>
        <v>0</v>
      </c>
      <c r="AL14" s="175">
        <f>IF(AN14=21,J14,0)</f>
        <v>0</v>
      </c>
      <c r="AN14" s="175">
        <v>21</v>
      </c>
      <c r="AO14" s="175">
        <f>G14*0</f>
        <v>0</v>
      </c>
      <c r="AP14" s="175">
        <f>G14*(1-0)</f>
        <v>0</v>
      </c>
      <c r="AQ14" s="177" t="s">
        <v>260</v>
      </c>
      <c r="AV14" s="175">
        <f>AW14+AX14</f>
        <v>0</v>
      </c>
      <c r="AW14" s="175">
        <f>F14*AO14</f>
        <v>0</v>
      </c>
      <c r="AX14" s="175">
        <f>F14*AP14</f>
        <v>0</v>
      </c>
      <c r="AY14" s="177" t="s">
        <v>263</v>
      </c>
      <c r="AZ14" s="177" t="s">
        <v>264</v>
      </c>
      <c r="BA14" s="158" t="s">
        <v>265</v>
      </c>
      <c r="BC14" s="175">
        <f>AW14+AX14</f>
        <v>0</v>
      </c>
      <c r="BD14" s="175">
        <f>G14/(100-BE14)*100</f>
        <v>0</v>
      </c>
      <c r="BE14" s="175">
        <v>0</v>
      </c>
      <c r="BF14" s="175">
        <f>14</f>
        <v>14</v>
      </c>
      <c r="BH14" s="175">
        <f>F14*AO14</f>
        <v>0</v>
      </c>
      <c r="BI14" s="175">
        <f>F14*AP14</f>
        <v>0</v>
      </c>
      <c r="BJ14" s="175">
        <f>F14*G14</f>
        <v>0</v>
      </c>
      <c r="BK14" s="175"/>
      <c r="BL14" s="175">
        <v>11</v>
      </c>
      <c r="BW14" s="175">
        <v>21</v>
      </c>
    </row>
    <row r="15" spans="1:47" ht="15" customHeight="1">
      <c r="A15" s="171" t="s">
        <v>180</v>
      </c>
      <c r="B15" s="172" t="s">
        <v>287</v>
      </c>
      <c r="C15" s="566" t="s">
        <v>288</v>
      </c>
      <c r="D15" s="567"/>
      <c r="E15" s="173" t="s">
        <v>224</v>
      </c>
      <c r="F15" s="173" t="s">
        <v>224</v>
      </c>
      <c r="G15" s="173" t="s">
        <v>224</v>
      </c>
      <c r="H15" s="153">
        <f>SUM(H16:H16)</f>
        <v>0</v>
      </c>
      <c r="I15" s="153">
        <f>SUM(I16:I16)</f>
        <v>0</v>
      </c>
      <c r="J15" s="153">
        <f>SUM(J16:J16)</f>
        <v>0</v>
      </c>
      <c r="K15" s="174" t="s">
        <v>180</v>
      </c>
      <c r="AI15" s="158" t="s">
        <v>259</v>
      </c>
      <c r="AS15" s="153">
        <f>SUM(AJ16:AJ16)</f>
        <v>0</v>
      </c>
      <c r="AT15" s="153">
        <f>SUM(AK16:AK16)</f>
        <v>0</v>
      </c>
      <c r="AU15" s="153">
        <f>SUM(AL16:AL16)</f>
        <v>0</v>
      </c>
    </row>
    <row r="16" spans="1:75" ht="13.5" customHeight="1">
      <c r="A16" s="137" t="s">
        <v>266</v>
      </c>
      <c r="B16" s="138" t="s">
        <v>407</v>
      </c>
      <c r="C16" s="520" t="s">
        <v>408</v>
      </c>
      <c r="D16" s="521"/>
      <c r="E16" s="138" t="s">
        <v>43</v>
      </c>
      <c r="F16" s="175">
        <v>600</v>
      </c>
      <c r="G16" s="175">
        <v>0</v>
      </c>
      <c r="H16" s="175">
        <f>F16*AO16</f>
        <v>0</v>
      </c>
      <c r="I16" s="175">
        <f>F16*AP16</f>
        <v>0</v>
      </c>
      <c r="J16" s="175">
        <f>F16*G16</f>
        <v>0</v>
      </c>
      <c r="K16" s="176" t="s">
        <v>262</v>
      </c>
      <c r="Z16" s="175">
        <f>IF(AQ16="5",BJ16,0)</f>
        <v>0</v>
      </c>
      <c r="AB16" s="175">
        <f>IF(AQ16="1",BH16,0)</f>
        <v>0</v>
      </c>
      <c r="AC16" s="175">
        <f>IF(AQ16="1",BI16,0)</f>
        <v>0</v>
      </c>
      <c r="AD16" s="175">
        <f>IF(AQ16="7",BH16,0)</f>
        <v>0</v>
      </c>
      <c r="AE16" s="175">
        <f>IF(AQ16="7",BI16,0)</f>
        <v>0</v>
      </c>
      <c r="AF16" s="175">
        <f>IF(AQ16="2",BH16,0)</f>
        <v>0</v>
      </c>
      <c r="AG16" s="175">
        <f>IF(AQ16="2",BI16,0)</f>
        <v>0</v>
      </c>
      <c r="AH16" s="175">
        <f>IF(AQ16="0",BJ16,0)</f>
        <v>0</v>
      </c>
      <c r="AI16" s="158" t="s">
        <v>259</v>
      </c>
      <c r="AJ16" s="175">
        <f>IF(AN16=0,J16,0)</f>
        <v>0</v>
      </c>
      <c r="AK16" s="175">
        <f>IF(AN16=12,J16,0)</f>
        <v>0</v>
      </c>
      <c r="AL16" s="175">
        <f>IF(AN16=21,J16,0)</f>
        <v>0</v>
      </c>
      <c r="AN16" s="175">
        <v>21</v>
      </c>
      <c r="AO16" s="175">
        <f>G16*0</f>
        <v>0</v>
      </c>
      <c r="AP16" s="175">
        <f>G16*(1-0)</f>
        <v>0</v>
      </c>
      <c r="AQ16" s="177" t="s">
        <v>270</v>
      </c>
      <c r="AV16" s="175">
        <f>AW16+AX16</f>
        <v>0</v>
      </c>
      <c r="AW16" s="175">
        <f>F16*AO16</f>
        <v>0</v>
      </c>
      <c r="AX16" s="175">
        <f>F16*AP16</f>
        <v>0</v>
      </c>
      <c r="AY16" s="177" t="s">
        <v>292</v>
      </c>
      <c r="AZ16" s="177" t="s">
        <v>293</v>
      </c>
      <c r="BA16" s="158" t="s">
        <v>265</v>
      </c>
      <c r="BC16" s="175">
        <f>AW16+AX16</f>
        <v>0</v>
      </c>
      <c r="BD16" s="175">
        <f>G16/(100-BE16)*100</f>
        <v>0</v>
      </c>
      <c r="BE16" s="175">
        <v>0</v>
      </c>
      <c r="BF16" s="175">
        <f>16</f>
        <v>16</v>
      </c>
      <c r="BH16" s="175">
        <f>F16*AO16</f>
        <v>0</v>
      </c>
      <c r="BI16" s="175">
        <f>F16*AP16</f>
        <v>0</v>
      </c>
      <c r="BJ16" s="175">
        <f>F16*G16</f>
        <v>0</v>
      </c>
      <c r="BK16" s="175"/>
      <c r="BL16" s="175"/>
      <c r="BW16" s="175">
        <v>21</v>
      </c>
    </row>
    <row r="17" spans="1:47" ht="15" customHeight="1">
      <c r="A17" s="171" t="s">
        <v>180</v>
      </c>
      <c r="B17" s="172" t="s">
        <v>294</v>
      </c>
      <c r="C17" s="566" t="s">
        <v>295</v>
      </c>
      <c r="D17" s="567"/>
      <c r="E17" s="173" t="s">
        <v>224</v>
      </c>
      <c r="F17" s="173" t="s">
        <v>224</v>
      </c>
      <c r="G17" s="173" t="s">
        <v>224</v>
      </c>
      <c r="H17" s="153">
        <f>SUM(H18:H19)</f>
        <v>0</v>
      </c>
      <c r="I17" s="153">
        <f>SUM(I18:I19)</f>
        <v>0</v>
      </c>
      <c r="J17" s="153">
        <f>SUM(J18:J19)</f>
        <v>0</v>
      </c>
      <c r="K17" s="174" t="s">
        <v>180</v>
      </c>
      <c r="AI17" s="158" t="s">
        <v>259</v>
      </c>
      <c r="AS17" s="153">
        <f>SUM(AJ18:AJ19)</f>
        <v>0</v>
      </c>
      <c r="AT17" s="153">
        <f>SUM(AK18:AK19)</f>
        <v>0</v>
      </c>
      <c r="AU17" s="153">
        <f>SUM(AL18:AL19)</f>
        <v>0</v>
      </c>
    </row>
    <row r="18" spans="1:75" ht="27" customHeight="1">
      <c r="A18" s="137" t="s">
        <v>268</v>
      </c>
      <c r="B18" s="138" t="s">
        <v>409</v>
      </c>
      <c r="C18" s="520" t="s">
        <v>410</v>
      </c>
      <c r="D18" s="521"/>
      <c r="E18" s="138" t="s">
        <v>43</v>
      </c>
      <c r="F18" s="175">
        <v>1806</v>
      </c>
      <c r="G18" s="175">
        <v>0</v>
      </c>
      <c r="H18" s="175">
        <f>F18*AO18</f>
        <v>0</v>
      </c>
      <c r="I18" s="175">
        <f>F18*AP18</f>
        <v>0</v>
      </c>
      <c r="J18" s="175">
        <f>F18*G18</f>
        <v>0</v>
      </c>
      <c r="K18" s="176" t="s">
        <v>262</v>
      </c>
      <c r="Z18" s="175">
        <f>IF(AQ18="5",BJ18,0)</f>
        <v>0</v>
      </c>
      <c r="AB18" s="175">
        <f>IF(AQ18="1",BH18,0)</f>
        <v>0</v>
      </c>
      <c r="AC18" s="175">
        <f>IF(AQ18="1",BI18,0)</f>
        <v>0</v>
      </c>
      <c r="AD18" s="175">
        <f>IF(AQ18="7",BH18,0)</f>
        <v>0</v>
      </c>
      <c r="AE18" s="175">
        <f>IF(AQ18="7",BI18,0)</f>
        <v>0</v>
      </c>
      <c r="AF18" s="175">
        <f>IF(AQ18="2",BH18,0)</f>
        <v>0</v>
      </c>
      <c r="AG18" s="175">
        <f>IF(AQ18="2",BI18,0)</f>
        <v>0</v>
      </c>
      <c r="AH18" s="175">
        <f>IF(AQ18="0",BJ18,0)</f>
        <v>0</v>
      </c>
      <c r="AI18" s="158" t="s">
        <v>259</v>
      </c>
      <c r="AJ18" s="175">
        <f>IF(AN18=0,J18,0)</f>
        <v>0</v>
      </c>
      <c r="AK18" s="175">
        <f>IF(AN18=12,J18,0)</f>
        <v>0</v>
      </c>
      <c r="AL18" s="175">
        <f>IF(AN18=21,J18,0)</f>
        <v>0</v>
      </c>
      <c r="AN18" s="175">
        <v>21</v>
      </c>
      <c r="AO18" s="175">
        <f>G18*0.0104305555555556</f>
        <v>0</v>
      </c>
      <c r="AP18" s="175">
        <f>G18*(1-0.0104305555555556)</f>
        <v>0</v>
      </c>
      <c r="AQ18" s="177" t="s">
        <v>270</v>
      </c>
      <c r="AV18" s="175">
        <f>AW18+AX18</f>
        <v>0</v>
      </c>
      <c r="AW18" s="175">
        <f>F18*AO18</f>
        <v>0</v>
      </c>
      <c r="AX18" s="175">
        <f>F18*AP18</f>
        <v>0</v>
      </c>
      <c r="AY18" s="177" t="s">
        <v>298</v>
      </c>
      <c r="AZ18" s="177" t="s">
        <v>293</v>
      </c>
      <c r="BA18" s="158" t="s">
        <v>265</v>
      </c>
      <c r="BC18" s="175">
        <f>AW18+AX18</f>
        <v>0</v>
      </c>
      <c r="BD18" s="175">
        <f>G18/(100-BE18)*100</f>
        <v>0</v>
      </c>
      <c r="BE18" s="175">
        <v>0</v>
      </c>
      <c r="BF18" s="175">
        <f>18</f>
        <v>18</v>
      </c>
      <c r="BH18" s="175">
        <f>F18*AO18</f>
        <v>0</v>
      </c>
      <c r="BI18" s="175">
        <f>F18*AP18</f>
        <v>0</v>
      </c>
      <c r="BJ18" s="175">
        <f>F18*G18</f>
        <v>0</v>
      </c>
      <c r="BK18" s="175"/>
      <c r="BL18" s="175"/>
      <c r="BW18" s="175">
        <v>21</v>
      </c>
    </row>
    <row r="19" spans="1:75" ht="13.5" customHeight="1">
      <c r="A19" s="137" t="s">
        <v>269</v>
      </c>
      <c r="B19" s="138" t="s">
        <v>411</v>
      </c>
      <c r="C19" s="520" t="s">
        <v>412</v>
      </c>
      <c r="D19" s="521"/>
      <c r="E19" s="138" t="s">
        <v>43</v>
      </c>
      <c r="F19" s="175">
        <v>1806</v>
      </c>
      <c r="G19" s="175">
        <v>0</v>
      </c>
      <c r="H19" s="175">
        <f>F19*AO19</f>
        <v>0</v>
      </c>
      <c r="I19" s="175">
        <f>F19*AP19</f>
        <v>0</v>
      </c>
      <c r="J19" s="175">
        <f>F19*G19</f>
        <v>0</v>
      </c>
      <c r="K19" s="176" t="s">
        <v>262</v>
      </c>
      <c r="Z19" s="175">
        <f>IF(AQ19="5",BJ19,0)</f>
        <v>0</v>
      </c>
      <c r="AB19" s="175">
        <f>IF(AQ19="1",BH19,0)</f>
        <v>0</v>
      </c>
      <c r="AC19" s="175">
        <f>IF(AQ19="1",BI19,0)</f>
        <v>0</v>
      </c>
      <c r="AD19" s="175">
        <f>IF(AQ19="7",BH19,0)</f>
        <v>0</v>
      </c>
      <c r="AE19" s="175">
        <f>IF(AQ19="7",BI19,0)</f>
        <v>0</v>
      </c>
      <c r="AF19" s="175">
        <f>IF(AQ19="2",BH19,0)</f>
        <v>0</v>
      </c>
      <c r="AG19" s="175">
        <f>IF(AQ19="2",BI19,0)</f>
        <v>0</v>
      </c>
      <c r="AH19" s="175">
        <f>IF(AQ19="0",BJ19,0)</f>
        <v>0</v>
      </c>
      <c r="AI19" s="158" t="s">
        <v>259</v>
      </c>
      <c r="AJ19" s="175">
        <f>IF(AN19=0,J19,0)</f>
        <v>0</v>
      </c>
      <c r="AK19" s="175">
        <f>IF(AN19=12,J19,0)</f>
        <v>0</v>
      </c>
      <c r="AL19" s="175">
        <f>IF(AN19=21,J19,0)</f>
        <v>0</v>
      </c>
      <c r="AN19" s="175">
        <v>21</v>
      </c>
      <c r="AO19" s="175">
        <f>G19*0</f>
        <v>0</v>
      </c>
      <c r="AP19" s="175">
        <f>G19*(1-0)</f>
        <v>0</v>
      </c>
      <c r="AQ19" s="177" t="s">
        <v>270</v>
      </c>
      <c r="AV19" s="175">
        <f>AW19+AX19</f>
        <v>0</v>
      </c>
      <c r="AW19" s="175">
        <f>F19*AO19</f>
        <v>0</v>
      </c>
      <c r="AX19" s="175">
        <f>F19*AP19</f>
        <v>0</v>
      </c>
      <c r="AY19" s="177" t="s">
        <v>298</v>
      </c>
      <c r="AZ19" s="177" t="s">
        <v>293</v>
      </c>
      <c r="BA19" s="158" t="s">
        <v>265</v>
      </c>
      <c r="BC19" s="175">
        <f>AW19+AX19</f>
        <v>0</v>
      </c>
      <c r="BD19" s="175">
        <f>G19/(100-BE19)*100</f>
        <v>0</v>
      </c>
      <c r="BE19" s="175">
        <v>0</v>
      </c>
      <c r="BF19" s="175">
        <f>19</f>
        <v>19</v>
      </c>
      <c r="BH19" s="175">
        <f>F19*AO19</f>
        <v>0</v>
      </c>
      <c r="BI19" s="175">
        <f>F19*AP19</f>
        <v>0</v>
      </c>
      <c r="BJ19" s="175">
        <f>F19*G19</f>
        <v>0</v>
      </c>
      <c r="BK19" s="175"/>
      <c r="BL19" s="175"/>
      <c r="BW19" s="175">
        <v>21</v>
      </c>
    </row>
    <row r="20" spans="1:11" ht="15" customHeight="1">
      <c r="A20" s="166" t="s">
        <v>180</v>
      </c>
      <c r="B20" s="167" t="s">
        <v>180</v>
      </c>
      <c r="C20" s="574" t="s">
        <v>413</v>
      </c>
      <c r="D20" s="575"/>
      <c r="E20" s="168" t="s">
        <v>224</v>
      </c>
      <c r="F20" s="168" t="s">
        <v>224</v>
      </c>
      <c r="G20" s="168" t="s">
        <v>224</v>
      </c>
      <c r="H20" s="169">
        <f>H21+H24+H26</f>
        <v>0</v>
      </c>
      <c r="I20" s="169">
        <f>I21+I24+I26</f>
        <v>0</v>
      </c>
      <c r="J20" s="169">
        <f>J21+J24+J26</f>
        <v>0</v>
      </c>
      <c r="K20" s="170" t="s">
        <v>180</v>
      </c>
    </row>
    <row r="21" spans="1:47" ht="15" customHeight="1">
      <c r="A21" s="171" t="s">
        <v>180</v>
      </c>
      <c r="B21" s="172" t="s">
        <v>257</v>
      </c>
      <c r="C21" s="566" t="s">
        <v>258</v>
      </c>
      <c r="D21" s="567"/>
      <c r="E21" s="173" t="s">
        <v>224</v>
      </c>
      <c r="F21" s="173" t="s">
        <v>224</v>
      </c>
      <c r="G21" s="173" t="s">
        <v>224</v>
      </c>
      <c r="H21" s="153">
        <f>SUM(H22:H23)</f>
        <v>0</v>
      </c>
      <c r="I21" s="153">
        <f>SUM(I22:I23)</f>
        <v>0</v>
      </c>
      <c r="J21" s="153">
        <f>SUM(J22:J23)</f>
        <v>0</v>
      </c>
      <c r="K21" s="174" t="s">
        <v>180</v>
      </c>
      <c r="AI21" s="158" t="s">
        <v>303</v>
      </c>
      <c r="AS21" s="153">
        <f>SUM(AJ22:AJ23)</f>
        <v>0</v>
      </c>
      <c r="AT21" s="153">
        <f>SUM(AK22:AK23)</f>
        <v>0</v>
      </c>
      <c r="AU21" s="153">
        <f>SUM(AL22:AL23)</f>
        <v>0</v>
      </c>
    </row>
    <row r="22" spans="1:75" ht="13.5" customHeight="1">
      <c r="A22" s="137" t="s">
        <v>270</v>
      </c>
      <c r="B22" s="138" t="s">
        <v>414</v>
      </c>
      <c r="C22" s="520" t="s">
        <v>415</v>
      </c>
      <c r="D22" s="521"/>
      <c r="E22" s="138" t="s">
        <v>261</v>
      </c>
      <c r="F22" s="175">
        <v>24</v>
      </c>
      <c r="G22" s="175">
        <v>0</v>
      </c>
      <c r="H22" s="175">
        <f>F22*AO22</f>
        <v>0</v>
      </c>
      <c r="I22" s="175">
        <f>F22*AP22</f>
        <v>0</v>
      </c>
      <c r="J22" s="175">
        <f>F22*G22</f>
        <v>0</v>
      </c>
      <c r="K22" s="176" t="s">
        <v>262</v>
      </c>
      <c r="Z22" s="175">
        <f>IF(AQ22="5",BJ22,0)</f>
        <v>0</v>
      </c>
      <c r="AB22" s="175">
        <f>IF(AQ22="1",BH22,0)</f>
        <v>0</v>
      </c>
      <c r="AC22" s="175">
        <f>IF(AQ22="1",BI22,0)</f>
        <v>0</v>
      </c>
      <c r="AD22" s="175">
        <f>IF(AQ22="7",BH22,0)</f>
        <v>0</v>
      </c>
      <c r="AE22" s="175">
        <f>IF(AQ22="7",BI22,0)</f>
        <v>0</v>
      </c>
      <c r="AF22" s="175">
        <f>IF(AQ22="2",BH22,0)</f>
        <v>0</v>
      </c>
      <c r="AG22" s="175">
        <f>IF(AQ22="2",BI22,0)</f>
        <v>0</v>
      </c>
      <c r="AH22" s="175">
        <f>IF(AQ22="0",BJ22,0)</f>
        <v>0</v>
      </c>
      <c r="AI22" s="158" t="s">
        <v>303</v>
      </c>
      <c r="AJ22" s="175">
        <f>IF(AN22=0,J22,0)</f>
        <v>0</v>
      </c>
      <c r="AK22" s="175">
        <f>IF(AN22=12,J22,0)</f>
        <v>0</v>
      </c>
      <c r="AL22" s="175">
        <f>IF(AN22=21,J22,0)</f>
        <v>0</v>
      </c>
      <c r="AN22" s="175">
        <v>21</v>
      </c>
      <c r="AO22" s="175">
        <f>G22*0</f>
        <v>0</v>
      </c>
      <c r="AP22" s="175">
        <f>G22*(1-0)</f>
        <v>0</v>
      </c>
      <c r="AQ22" s="177" t="s">
        <v>260</v>
      </c>
      <c r="AV22" s="175">
        <f>AW22+AX22</f>
        <v>0</v>
      </c>
      <c r="AW22" s="175">
        <f>F22*AO22</f>
        <v>0</v>
      </c>
      <c r="AX22" s="175">
        <f>F22*AP22</f>
        <v>0</v>
      </c>
      <c r="AY22" s="177" t="s">
        <v>263</v>
      </c>
      <c r="AZ22" s="177" t="s">
        <v>305</v>
      </c>
      <c r="BA22" s="158" t="s">
        <v>306</v>
      </c>
      <c r="BC22" s="175">
        <f>AW22+AX22</f>
        <v>0</v>
      </c>
      <c r="BD22" s="175">
        <f>G22/(100-BE22)*100</f>
        <v>0</v>
      </c>
      <c r="BE22" s="175">
        <v>0</v>
      </c>
      <c r="BF22" s="175">
        <f>22</f>
        <v>22</v>
      </c>
      <c r="BH22" s="175">
        <f>F22*AO22</f>
        <v>0</v>
      </c>
      <c r="BI22" s="175">
        <f>F22*AP22</f>
        <v>0</v>
      </c>
      <c r="BJ22" s="175">
        <f>F22*G22</f>
        <v>0</v>
      </c>
      <c r="BK22" s="175"/>
      <c r="BL22" s="175">
        <v>11</v>
      </c>
      <c r="BW22" s="175">
        <v>21</v>
      </c>
    </row>
    <row r="23" spans="1:75" ht="13.5" customHeight="1">
      <c r="A23" s="137" t="s">
        <v>271</v>
      </c>
      <c r="B23" s="138" t="s">
        <v>416</v>
      </c>
      <c r="C23" s="520" t="s">
        <v>417</v>
      </c>
      <c r="D23" s="521"/>
      <c r="E23" s="138" t="s">
        <v>261</v>
      </c>
      <c r="F23" s="175">
        <v>24</v>
      </c>
      <c r="G23" s="175">
        <v>0</v>
      </c>
      <c r="H23" s="175">
        <f>F23*AO23</f>
        <v>0</v>
      </c>
      <c r="I23" s="175">
        <f>F23*AP23</f>
        <v>0</v>
      </c>
      <c r="J23" s="175">
        <f>F23*G23</f>
        <v>0</v>
      </c>
      <c r="K23" s="176" t="s">
        <v>262</v>
      </c>
      <c r="Z23" s="175">
        <f>IF(AQ23="5",BJ23,0)</f>
        <v>0</v>
      </c>
      <c r="AB23" s="175">
        <f>IF(AQ23="1",BH23,0)</f>
        <v>0</v>
      </c>
      <c r="AC23" s="175">
        <f>IF(AQ23="1",BI23,0)</f>
        <v>0</v>
      </c>
      <c r="AD23" s="175">
        <f>IF(AQ23="7",BH23,0)</f>
        <v>0</v>
      </c>
      <c r="AE23" s="175">
        <f>IF(AQ23="7",BI23,0)</f>
        <v>0</v>
      </c>
      <c r="AF23" s="175">
        <f>IF(AQ23="2",BH23,0)</f>
        <v>0</v>
      </c>
      <c r="AG23" s="175">
        <f>IF(AQ23="2",BI23,0)</f>
        <v>0</v>
      </c>
      <c r="AH23" s="175">
        <f>IF(AQ23="0",BJ23,0)</f>
        <v>0</v>
      </c>
      <c r="AI23" s="158" t="s">
        <v>303</v>
      </c>
      <c r="AJ23" s="175">
        <f>IF(AN23=0,J23,0)</f>
        <v>0</v>
      </c>
      <c r="AK23" s="175">
        <f>IF(AN23=12,J23,0)</f>
        <v>0</v>
      </c>
      <c r="AL23" s="175">
        <f>IF(AN23=21,J23,0)</f>
        <v>0</v>
      </c>
      <c r="AN23" s="175">
        <v>21</v>
      </c>
      <c r="AO23" s="175">
        <f>G23*0</f>
        <v>0</v>
      </c>
      <c r="AP23" s="175">
        <f>G23*(1-0)</f>
        <v>0</v>
      </c>
      <c r="AQ23" s="177" t="s">
        <v>260</v>
      </c>
      <c r="AV23" s="175">
        <f>AW23+AX23</f>
        <v>0</v>
      </c>
      <c r="AW23" s="175">
        <f>F23*AO23</f>
        <v>0</v>
      </c>
      <c r="AX23" s="175">
        <f>F23*AP23</f>
        <v>0</v>
      </c>
      <c r="AY23" s="177" t="s">
        <v>263</v>
      </c>
      <c r="AZ23" s="177" t="s">
        <v>305</v>
      </c>
      <c r="BA23" s="158" t="s">
        <v>306</v>
      </c>
      <c r="BC23" s="175">
        <f>AW23+AX23</f>
        <v>0</v>
      </c>
      <c r="BD23" s="175">
        <f>G23/(100-BE23)*100</f>
        <v>0</v>
      </c>
      <c r="BE23" s="175">
        <v>0</v>
      </c>
      <c r="BF23" s="175">
        <f>23</f>
        <v>23</v>
      </c>
      <c r="BH23" s="175">
        <f>F23*AO23</f>
        <v>0</v>
      </c>
      <c r="BI23" s="175">
        <f>F23*AP23</f>
        <v>0</v>
      </c>
      <c r="BJ23" s="175">
        <f>F23*G23</f>
        <v>0</v>
      </c>
      <c r="BK23" s="175"/>
      <c r="BL23" s="175">
        <v>11</v>
      </c>
      <c r="BW23" s="175">
        <v>21</v>
      </c>
    </row>
    <row r="24" spans="1:47" ht="15" customHeight="1">
      <c r="A24" s="171" t="s">
        <v>180</v>
      </c>
      <c r="B24" s="172" t="s">
        <v>287</v>
      </c>
      <c r="C24" s="566" t="s">
        <v>288</v>
      </c>
      <c r="D24" s="567"/>
      <c r="E24" s="173" t="s">
        <v>224</v>
      </c>
      <c r="F24" s="173" t="s">
        <v>224</v>
      </c>
      <c r="G24" s="173" t="s">
        <v>224</v>
      </c>
      <c r="H24" s="153">
        <f>SUM(H25:H25)</f>
        <v>0</v>
      </c>
      <c r="I24" s="153">
        <f>SUM(I25:I25)</f>
        <v>0</v>
      </c>
      <c r="J24" s="153">
        <f>SUM(J25:J25)</f>
        <v>0</v>
      </c>
      <c r="K24" s="174" t="s">
        <v>180</v>
      </c>
      <c r="AI24" s="158" t="s">
        <v>303</v>
      </c>
      <c r="AS24" s="153">
        <f>SUM(AJ25:AJ25)</f>
        <v>0</v>
      </c>
      <c r="AT24" s="153">
        <f>SUM(AK25:AK25)</f>
        <v>0</v>
      </c>
      <c r="AU24" s="153">
        <f>SUM(AL25:AL25)</f>
        <v>0</v>
      </c>
    </row>
    <row r="25" spans="1:75" ht="13.5" customHeight="1">
      <c r="A25" s="137" t="s">
        <v>272</v>
      </c>
      <c r="B25" s="138" t="s">
        <v>407</v>
      </c>
      <c r="C25" s="520" t="s">
        <v>408</v>
      </c>
      <c r="D25" s="521"/>
      <c r="E25" s="138" t="s">
        <v>43</v>
      </c>
      <c r="F25" s="175">
        <v>20</v>
      </c>
      <c r="G25" s="175">
        <v>0</v>
      </c>
      <c r="H25" s="175">
        <f>F25*AO25</f>
        <v>0</v>
      </c>
      <c r="I25" s="175">
        <f>F25*AP25</f>
        <v>0</v>
      </c>
      <c r="J25" s="175">
        <f>F25*G25</f>
        <v>0</v>
      </c>
      <c r="K25" s="176" t="s">
        <v>262</v>
      </c>
      <c r="Z25" s="175">
        <f>IF(AQ25="5",BJ25,0)</f>
        <v>0</v>
      </c>
      <c r="AB25" s="175">
        <f>IF(AQ25="1",BH25,0)</f>
        <v>0</v>
      </c>
      <c r="AC25" s="175">
        <f>IF(AQ25="1",BI25,0)</f>
        <v>0</v>
      </c>
      <c r="AD25" s="175">
        <f>IF(AQ25="7",BH25,0)</f>
        <v>0</v>
      </c>
      <c r="AE25" s="175">
        <f>IF(AQ25="7",BI25,0)</f>
        <v>0</v>
      </c>
      <c r="AF25" s="175">
        <f>IF(AQ25="2",BH25,0)</f>
        <v>0</v>
      </c>
      <c r="AG25" s="175">
        <f>IF(AQ25="2",BI25,0)</f>
        <v>0</v>
      </c>
      <c r="AH25" s="175">
        <f>IF(AQ25="0",BJ25,0)</f>
        <v>0</v>
      </c>
      <c r="AI25" s="158" t="s">
        <v>303</v>
      </c>
      <c r="AJ25" s="175">
        <f>IF(AN25=0,J25,0)</f>
        <v>0</v>
      </c>
      <c r="AK25" s="175">
        <f>IF(AN25=12,J25,0)</f>
        <v>0</v>
      </c>
      <c r="AL25" s="175">
        <f>IF(AN25=21,J25,0)</f>
        <v>0</v>
      </c>
      <c r="AN25" s="175">
        <v>21</v>
      </c>
      <c r="AO25" s="175">
        <f>G25*0</f>
        <v>0</v>
      </c>
      <c r="AP25" s="175">
        <f>G25*(1-0)</f>
        <v>0</v>
      </c>
      <c r="AQ25" s="177" t="s">
        <v>270</v>
      </c>
      <c r="AV25" s="175">
        <f>AW25+AX25</f>
        <v>0</v>
      </c>
      <c r="AW25" s="175">
        <f>F25*AO25</f>
        <v>0</v>
      </c>
      <c r="AX25" s="175">
        <f>F25*AP25</f>
        <v>0</v>
      </c>
      <c r="AY25" s="177" t="s">
        <v>292</v>
      </c>
      <c r="AZ25" s="177" t="s">
        <v>322</v>
      </c>
      <c r="BA25" s="158" t="s">
        <v>306</v>
      </c>
      <c r="BC25" s="175">
        <f>AW25+AX25</f>
        <v>0</v>
      </c>
      <c r="BD25" s="175">
        <f>G25/(100-BE25)*100</f>
        <v>0</v>
      </c>
      <c r="BE25" s="175">
        <v>0</v>
      </c>
      <c r="BF25" s="175">
        <f>25</f>
        <v>25</v>
      </c>
      <c r="BH25" s="175">
        <f>F25*AO25</f>
        <v>0</v>
      </c>
      <c r="BI25" s="175">
        <f>F25*AP25</f>
        <v>0</v>
      </c>
      <c r="BJ25" s="175">
        <f>F25*G25</f>
        <v>0</v>
      </c>
      <c r="BK25" s="175"/>
      <c r="BL25" s="175"/>
      <c r="BW25" s="175">
        <v>21</v>
      </c>
    </row>
    <row r="26" spans="1:47" ht="15" customHeight="1">
      <c r="A26" s="171" t="s">
        <v>180</v>
      </c>
      <c r="B26" s="172" t="s">
        <v>294</v>
      </c>
      <c r="C26" s="566" t="s">
        <v>295</v>
      </c>
      <c r="D26" s="567"/>
      <c r="E26" s="173" t="s">
        <v>224</v>
      </c>
      <c r="F26" s="173" t="s">
        <v>224</v>
      </c>
      <c r="G26" s="173" t="s">
        <v>224</v>
      </c>
      <c r="H26" s="153">
        <f>SUM(H27:H29)</f>
        <v>0</v>
      </c>
      <c r="I26" s="153">
        <f>SUM(I27:I29)</f>
        <v>0</v>
      </c>
      <c r="J26" s="153">
        <f>SUM(J27:J29)</f>
        <v>0</v>
      </c>
      <c r="K26" s="174" t="s">
        <v>180</v>
      </c>
      <c r="AI26" s="158" t="s">
        <v>303</v>
      </c>
      <c r="AS26" s="153">
        <f>SUM(AJ27:AJ29)</f>
        <v>0</v>
      </c>
      <c r="AT26" s="153">
        <f>SUM(AK27:AK29)</f>
        <v>0</v>
      </c>
      <c r="AU26" s="153">
        <f>SUM(AL27:AL29)</f>
        <v>0</v>
      </c>
    </row>
    <row r="27" spans="1:75" ht="27" customHeight="1">
      <c r="A27" s="137" t="s">
        <v>273</v>
      </c>
      <c r="B27" s="138" t="s">
        <v>409</v>
      </c>
      <c r="C27" s="520" t="s">
        <v>418</v>
      </c>
      <c r="D27" s="521"/>
      <c r="E27" s="138" t="s">
        <v>43</v>
      </c>
      <c r="F27" s="175">
        <v>13.5</v>
      </c>
      <c r="G27" s="175">
        <v>0</v>
      </c>
      <c r="H27" s="175">
        <f>F27*AO27</f>
        <v>0</v>
      </c>
      <c r="I27" s="175">
        <f>F27*AP27</f>
        <v>0</v>
      </c>
      <c r="J27" s="175">
        <f>F27*G27</f>
        <v>0</v>
      </c>
      <c r="K27" s="176" t="s">
        <v>262</v>
      </c>
      <c r="Z27" s="175">
        <f>IF(AQ27="5",BJ27,0)</f>
        <v>0</v>
      </c>
      <c r="AB27" s="175">
        <f>IF(AQ27="1",BH27,0)</f>
        <v>0</v>
      </c>
      <c r="AC27" s="175">
        <f>IF(AQ27="1",BI27,0)</f>
        <v>0</v>
      </c>
      <c r="AD27" s="175">
        <f>IF(AQ27="7",BH27,0)</f>
        <v>0</v>
      </c>
      <c r="AE27" s="175">
        <f>IF(AQ27="7",BI27,0)</f>
        <v>0</v>
      </c>
      <c r="AF27" s="175">
        <f>IF(AQ27="2",BH27,0)</f>
        <v>0</v>
      </c>
      <c r="AG27" s="175">
        <f>IF(AQ27="2",BI27,0)</f>
        <v>0</v>
      </c>
      <c r="AH27" s="175">
        <f>IF(AQ27="0",BJ27,0)</f>
        <v>0</v>
      </c>
      <c r="AI27" s="158" t="s">
        <v>303</v>
      </c>
      <c r="AJ27" s="175">
        <f>IF(AN27=0,J27,0)</f>
        <v>0</v>
      </c>
      <c r="AK27" s="175">
        <f>IF(AN27=12,J27,0)</f>
        <v>0</v>
      </c>
      <c r="AL27" s="175">
        <f>IF(AN27=21,J27,0)</f>
        <v>0</v>
      </c>
      <c r="AN27" s="175">
        <v>21</v>
      </c>
      <c r="AO27" s="175">
        <f>G27*0.0104305555555556</f>
        <v>0</v>
      </c>
      <c r="AP27" s="175">
        <f>G27*(1-0.0104305555555556)</f>
        <v>0</v>
      </c>
      <c r="AQ27" s="177" t="s">
        <v>270</v>
      </c>
      <c r="AV27" s="175">
        <f>AW27+AX27</f>
        <v>0</v>
      </c>
      <c r="AW27" s="175">
        <f>F27*AO27</f>
        <v>0</v>
      </c>
      <c r="AX27" s="175">
        <f>F27*AP27</f>
        <v>0</v>
      </c>
      <c r="AY27" s="177" t="s">
        <v>298</v>
      </c>
      <c r="AZ27" s="177" t="s">
        <v>322</v>
      </c>
      <c r="BA27" s="158" t="s">
        <v>306</v>
      </c>
      <c r="BC27" s="175">
        <f>AW27+AX27</f>
        <v>0</v>
      </c>
      <c r="BD27" s="175">
        <f>G27/(100-BE27)*100</f>
        <v>0</v>
      </c>
      <c r="BE27" s="175">
        <v>0</v>
      </c>
      <c r="BF27" s="175">
        <f>27</f>
        <v>27</v>
      </c>
      <c r="BH27" s="175">
        <f>F27*AO27</f>
        <v>0</v>
      </c>
      <c r="BI27" s="175">
        <f>F27*AP27</f>
        <v>0</v>
      </c>
      <c r="BJ27" s="175">
        <f>F27*G27</f>
        <v>0</v>
      </c>
      <c r="BK27" s="175"/>
      <c r="BL27" s="175"/>
      <c r="BW27" s="175">
        <v>21</v>
      </c>
    </row>
    <row r="28" spans="1:11" ht="27" customHeight="1">
      <c r="A28" s="178"/>
      <c r="B28" s="179" t="s">
        <v>220</v>
      </c>
      <c r="C28" s="571" t="s">
        <v>419</v>
      </c>
      <c r="D28" s="572"/>
      <c r="E28" s="572"/>
      <c r="F28" s="572"/>
      <c r="G28" s="572"/>
      <c r="H28" s="572"/>
      <c r="I28" s="572"/>
      <c r="J28" s="572"/>
      <c r="K28" s="573"/>
    </row>
    <row r="29" spans="1:75" ht="13.5" customHeight="1">
      <c r="A29" s="137" t="s">
        <v>274</v>
      </c>
      <c r="B29" s="138" t="s">
        <v>411</v>
      </c>
      <c r="C29" s="520" t="s">
        <v>412</v>
      </c>
      <c r="D29" s="521"/>
      <c r="E29" s="138" t="s">
        <v>43</v>
      </c>
      <c r="F29" s="175">
        <v>13.5</v>
      </c>
      <c r="G29" s="175">
        <v>0</v>
      </c>
      <c r="H29" s="175">
        <f>F29*AO29</f>
        <v>0</v>
      </c>
      <c r="I29" s="175">
        <f>F29*AP29</f>
        <v>0</v>
      </c>
      <c r="J29" s="175">
        <f>F29*G29</f>
        <v>0</v>
      </c>
      <c r="K29" s="176" t="s">
        <v>262</v>
      </c>
      <c r="Z29" s="175">
        <f>IF(AQ29="5",BJ29,0)</f>
        <v>0</v>
      </c>
      <c r="AB29" s="175">
        <f>IF(AQ29="1",BH29,0)</f>
        <v>0</v>
      </c>
      <c r="AC29" s="175">
        <f>IF(AQ29="1",BI29,0)</f>
        <v>0</v>
      </c>
      <c r="AD29" s="175">
        <f>IF(AQ29="7",BH29,0)</f>
        <v>0</v>
      </c>
      <c r="AE29" s="175">
        <f>IF(AQ29="7",BI29,0)</f>
        <v>0</v>
      </c>
      <c r="AF29" s="175">
        <f>IF(AQ29="2",BH29,0)</f>
        <v>0</v>
      </c>
      <c r="AG29" s="175">
        <f>IF(AQ29="2",BI29,0)</f>
        <v>0</v>
      </c>
      <c r="AH29" s="175">
        <f>IF(AQ29="0",BJ29,0)</f>
        <v>0</v>
      </c>
      <c r="AI29" s="158" t="s">
        <v>303</v>
      </c>
      <c r="AJ29" s="175">
        <f>IF(AN29=0,J29,0)</f>
        <v>0</v>
      </c>
      <c r="AK29" s="175">
        <f>IF(AN29=12,J29,0)</f>
        <v>0</v>
      </c>
      <c r="AL29" s="175">
        <f>IF(AN29=21,J29,0)</f>
        <v>0</v>
      </c>
      <c r="AN29" s="175">
        <v>21</v>
      </c>
      <c r="AO29" s="175">
        <f>G29*0</f>
        <v>0</v>
      </c>
      <c r="AP29" s="175">
        <f>G29*(1-0)</f>
        <v>0</v>
      </c>
      <c r="AQ29" s="177" t="s">
        <v>270</v>
      </c>
      <c r="AV29" s="175">
        <f>AW29+AX29</f>
        <v>0</v>
      </c>
      <c r="AW29" s="175">
        <f>F29*AO29</f>
        <v>0</v>
      </c>
      <c r="AX29" s="175">
        <f>F29*AP29</f>
        <v>0</v>
      </c>
      <c r="AY29" s="177" t="s">
        <v>298</v>
      </c>
      <c r="AZ29" s="177" t="s">
        <v>322</v>
      </c>
      <c r="BA29" s="158" t="s">
        <v>306</v>
      </c>
      <c r="BC29" s="175">
        <f>AW29+AX29</f>
        <v>0</v>
      </c>
      <c r="BD29" s="175">
        <f>G29/(100-BE29)*100</f>
        <v>0</v>
      </c>
      <c r="BE29" s="175">
        <v>0</v>
      </c>
      <c r="BF29" s="175">
        <f>29</f>
        <v>29</v>
      </c>
      <c r="BH29" s="175">
        <f>F29*AO29</f>
        <v>0</v>
      </c>
      <c r="BI29" s="175">
        <f>F29*AP29</f>
        <v>0</v>
      </c>
      <c r="BJ29" s="175">
        <f>F29*G29</f>
        <v>0</v>
      </c>
      <c r="BK29" s="175"/>
      <c r="BL29" s="175"/>
      <c r="BW29" s="175">
        <v>21</v>
      </c>
    </row>
    <row r="30" spans="1:11" ht="15" customHeight="1">
      <c r="A30" s="166" t="s">
        <v>180</v>
      </c>
      <c r="B30" s="167" t="s">
        <v>180</v>
      </c>
      <c r="C30" s="574" t="s">
        <v>420</v>
      </c>
      <c r="D30" s="575"/>
      <c r="E30" s="168" t="s">
        <v>224</v>
      </c>
      <c r="F30" s="168" t="s">
        <v>224</v>
      </c>
      <c r="G30" s="168" t="s">
        <v>224</v>
      </c>
      <c r="H30" s="169">
        <f>H31+H34+H40+H44+H49+H52+H54</f>
        <v>0</v>
      </c>
      <c r="I30" s="169">
        <f>I31+I34+I40+I44+I49+I52+I54</f>
        <v>0</v>
      </c>
      <c r="J30" s="169">
        <f>J31+J34+J40+J44+J49+J52+J54</f>
        <v>0</v>
      </c>
      <c r="K30" s="170" t="s">
        <v>180</v>
      </c>
    </row>
    <row r="31" spans="1:47" ht="15" customHeight="1">
      <c r="A31" s="171" t="s">
        <v>180</v>
      </c>
      <c r="B31" s="172" t="s">
        <v>257</v>
      </c>
      <c r="C31" s="566" t="s">
        <v>258</v>
      </c>
      <c r="D31" s="567"/>
      <c r="E31" s="173" t="s">
        <v>224</v>
      </c>
      <c r="F31" s="173" t="s">
        <v>224</v>
      </c>
      <c r="G31" s="173" t="s">
        <v>224</v>
      </c>
      <c r="H31" s="153">
        <f>SUM(H32:H33)</f>
        <v>0</v>
      </c>
      <c r="I31" s="153">
        <f>SUM(I32:I33)</f>
        <v>0</v>
      </c>
      <c r="J31" s="153">
        <f>SUM(J32:J33)</f>
        <v>0</v>
      </c>
      <c r="K31" s="174" t="s">
        <v>180</v>
      </c>
      <c r="AI31" s="158" t="s">
        <v>340</v>
      </c>
      <c r="AS31" s="153">
        <f>SUM(AJ32:AJ33)</f>
        <v>0</v>
      </c>
      <c r="AT31" s="153">
        <f>SUM(AK32:AK33)</f>
        <v>0</v>
      </c>
      <c r="AU31" s="153">
        <f>SUM(AL32:AL33)</f>
        <v>0</v>
      </c>
    </row>
    <row r="32" spans="1:75" ht="13.5" customHeight="1">
      <c r="A32" s="137" t="s">
        <v>277</v>
      </c>
      <c r="B32" s="138" t="s">
        <v>421</v>
      </c>
      <c r="C32" s="520" t="s">
        <v>422</v>
      </c>
      <c r="D32" s="521"/>
      <c r="E32" s="138" t="s">
        <v>284</v>
      </c>
      <c r="F32" s="175">
        <v>1</v>
      </c>
      <c r="G32" s="175">
        <v>0</v>
      </c>
      <c r="H32" s="175">
        <f>F32*AO32</f>
        <v>0</v>
      </c>
      <c r="I32" s="175">
        <f>F32*AP32</f>
        <v>0</v>
      </c>
      <c r="J32" s="175">
        <f>F32*G32</f>
        <v>0</v>
      </c>
      <c r="K32" s="176" t="s">
        <v>180</v>
      </c>
      <c r="Z32" s="175">
        <f>IF(AQ32="5",BJ32,0)</f>
        <v>0</v>
      </c>
      <c r="AB32" s="175">
        <f>IF(AQ32="1",BH32,0)</f>
        <v>0</v>
      </c>
      <c r="AC32" s="175">
        <f>IF(AQ32="1",BI32,0)</f>
        <v>0</v>
      </c>
      <c r="AD32" s="175">
        <f>IF(AQ32="7",BH32,0)</f>
        <v>0</v>
      </c>
      <c r="AE32" s="175">
        <f>IF(AQ32="7",BI32,0)</f>
        <v>0</v>
      </c>
      <c r="AF32" s="175">
        <f>IF(AQ32="2",BH32,0)</f>
        <v>0</v>
      </c>
      <c r="AG32" s="175">
        <f>IF(AQ32="2",BI32,0)</f>
        <v>0</v>
      </c>
      <c r="AH32" s="175">
        <f>IF(AQ32="0",BJ32,0)</f>
        <v>0</v>
      </c>
      <c r="AI32" s="158" t="s">
        <v>340</v>
      </c>
      <c r="AJ32" s="175">
        <f>IF(AN32=0,J32,0)</f>
        <v>0</v>
      </c>
      <c r="AK32" s="175">
        <f>IF(AN32=12,J32,0)</f>
        <v>0</v>
      </c>
      <c r="AL32" s="175">
        <f>IF(AN32=21,J32,0)</f>
        <v>0</v>
      </c>
      <c r="AN32" s="175">
        <v>21</v>
      </c>
      <c r="AO32" s="175">
        <f>G32*0</f>
        <v>0</v>
      </c>
      <c r="AP32" s="175">
        <f>G32*(1-0)</f>
        <v>0</v>
      </c>
      <c r="AQ32" s="177" t="s">
        <v>260</v>
      </c>
      <c r="AV32" s="175">
        <f>AW32+AX32</f>
        <v>0</v>
      </c>
      <c r="AW32" s="175">
        <f>F32*AO32</f>
        <v>0</v>
      </c>
      <c r="AX32" s="175">
        <f>F32*AP32</f>
        <v>0</v>
      </c>
      <c r="AY32" s="177" t="s">
        <v>263</v>
      </c>
      <c r="AZ32" s="177" t="s">
        <v>342</v>
      </c>
      <c r="BA32" s="158" t="s">
        <v>343</v>
      </c>
      <c r="BC32" s="175">
        <f>AW32+AX32</f>
        <v>0</v>
      </c>
      <c r="BD32" s="175">
        <f>G32/(100-BE32)*100</f>
        <v>0</v>
      </c>
      <c r="BE32" s="175">
        <v>0</v>
      </c>
      <c r="BF32" s="175">
        <f>32</f>
        <v>32</v>
      </c>
      <c r="BH32" s="175">
        <f>F32*AO32</f>
        <v>0</v>
      </c>
      <c r="BI32" s="175">
        <f>F32*AP32</f>
        <v>0</v>
      </c>
      <c r="BJ32" s="175">
        <f>F32*G32</f>
        <v>0</v>
      </c>
      <c r="BK32" s="175"/>
      <c r="BL32" s="175">
        <v>11</v>
      </c>
      <c r="BW32" s="175">
        <v>21</v>
      </c>
    </row>
    <row r="33" spans="1:75" ht="13.5" customHeight="1">
      <c r="A33" s="137" t="s">
        <v>257</v>
      </c>
      <c r="B33" s="138" t="s">
        <v>421</v>
      </c>
      <c r="C33" s="520" t="s">
        <v>423</v>
      </c>
      <c r="D33" s="521"/>
      <c r="E33" s="138" t="s">
        <v>284</v>
      </c>
      <c r="F33" s="175">
        <v>1</v>
      </c>
      <c r="G33" s="175">
        <v>0</v>
      </c>
      <c r="H33" s="175">
        <f>F33*AO33</f>
        <v>0</v>
      </c>
      <c r="I33" s="175">
        <f>F33*AP33</f>
        <v>0</v>
      </c>
      <c r="J33" s="175">
        <f>F33*G33</f>
        <v>0</v>
      </c>
      <c r="K33" s="176" t="s">
        <v>180</v>
      </c>
      <c r="Z33" s="175">
        <f>IF(AQ33="5",BJ33,0)</f>
        <v>0</v>
      </c>
      <c r="AB33" s="175">
        <f>IF(AQ33="1",BH33,0)</f>
        <v>0</v>
      </c>
      <c r="AC33" s="175">
        <f>IF(AQ33="1",BI33,0)</f>
        <v>0</v>
      </c>
      <c r="AD33" s="175">
        <f>IF(AQ33="7",BH33,0)</f>
        <v>0</v>
      </c>
      <c r="AE33" s="175">
        <f>IF(AQ33="7",BI33,0)</f>
        <v>0</v>
      </c>
      <c r="AF33" s="175">
        <f>IF(AQ33="2",BH33,0)</f>
        <v>0</v>
      </c>
      <c r="AG33" s="175">
        <f>IF(AQ33="2",BI33,0)</f>
        <v>0</v>
      </c>
      <c r="AH33" s="175">
        <f>IF(AQ33="0",BJ33,0)</f>
        <v>0</v>
      </c>
      <c r="AI33" s="158" t="s">
        <v>340</v>
      </c>
      <c r="AJ33" s="175">
        <f>IF(AN33=0,J33,0)</f>
        <v>0</v>
      </c>
      <c r="AK33" s="175">
        <f>IF(AN33=12,J33,0)</f>
        <v>0</v>
      </c>
      <c r="AL33" s="175">
        <f>IF(AN33=21,J33,0)</f>
        <v>0</v>
      </c>
      <c r="AN33" s="175">
        <v>21</v>
      </c>
      <c r="AO33" s="175">
        <f>G33*0</f>
        <v>0</v>
      </c>
      <c r="AP33" s="175">
        <f>G33*(1-0)</f>
        <v>0</v>
      </c>
      <c r="AQ33" s="177" t="s">
        <v>260</v>
      </c>
      <c r="AV33" s="175">
        <f>AW33+AX33</f>
        <v>0</v>
      </c>
      <c r="AW33" s="175">
        <f>F33*AO33</f>
        <v>0</v>
      </c>
      <c r="AX33" s="175">
        <f>F33*AP33</f>
        <v>0</v>
      </c>
      <c r="AY33" s="177" t="s">
        <v>263</v>
      </c>
      <c r="AZ33" s="177" t="s">
        <v>342</v>
      </c>
      <c r="BA33" s="158" t="s">
        <v>343</v>
      </c>
      <c r="BC33" s="175">
        <f>AW33+AX33</f>
        <v>0</v>
      </c>
      <c r="BD33" s="175">
        <f>G33/(100-BE33)*100</f>
        <v>0</v>
      </c>
      <c r="BE33" s="175">
        <v>0</v>
      </c>
      <c r="BF33" s="175">
        <f>33</f>
        <v>33</v>
      </c>
      <c r="BH33" s="175">
        <f>F33*AO33</f>
        <v>0</v>
      </c>
      <c r="BI33" s="175">
        <f>F33*AP33</f>
        <v>0</v>
      </c>
      <c r="BJ33" s="175">
        <f>F33*G33</f>
        <v>0</v>
      </c>
      <c r="BK33" s="175"/>
      <c r="BL33" s="175">
        <v>11</v>
      </c>
      <c r="BW33" s="175">
        <v>21</v>
      </c>
    </row>
    <row r="34" spans="1:47" ht="15" customHeight="1">
      <c r="A34" s="171" t="s">
        <v>180</v>
      </c>
      <c r="B34" s="172" t="s">
        <v>279</v>
      </c>
      <c r="C34" s="566" t="s">
        <v>378</v>
      </c>
      <c r="D34" s="567"/>
      <c r="E34" s="173" t="s">
        <v>224</v>
      </c>
      <c r="F34" s="173" t="s">
        <v>224</v>
      </c>
      <c r="G34" s="173" t="s">
        <v>224</v>
      </c>
      <c r="H34" s="153">
        <f>SUM(H35:H39)</f>
        <v>0</v>
      </c>
      <c r="I34" s="153">
        <f>SUM(I35:I39)</f>
        <v>0</v>
      </c>
      <c r="J34" s="153">
        <f>SUM(J35:J39)</f>
        <v>0</v>
      </c>
      <c r="K34" s="174" t="s">
        <v>180</v>
      </c>
      <c r="AI34" s="158" t="s">
        <v>340</v>
      </c>
      <c r="AS34" s="153">
        <f>SUM(AJ35:AJ39)</f>
        <v>0</v>
      </c>
      <c r="AT34" s="153">
        <f>SUM(AK35:AK39)</f>
        <v>0</v>
      </c>
      <c r="AU34" s="153">
        <f>SUM(AL35:AL39)</f>
        <v>0</v>
      </c>
    </row>
    <row r="35" spans="1:75" ht="13.5" customHeight="1">
      <c r="A35" s="137" t="s">
        <v>279</v>
      </c>
      <c r="B35" s="138" t="s">
        <v>345</v>
      </c>
      <c r="C35" s="520" t="s">
        <v>424</v>
      </c>
      <c r="D35" s="521"/>
      <c r="E35" s="138" t="s">
        <v>297</v>
      </c>
      <c r="F35" s="175">
        <v>8</v>
      </c>
      <c r="G35" s="175">
        <v>0</v>
      </c>
      <c r="H35" s="175">
        <f>F35*AO35</f>
        <v>0</v>
      </c>
      <c r="I35" s="175">
        <f>F35*AP35</f>
        <v>0</v>
      </c>
      <c r="J35" s="175">
        <f>F35*G35</f>
        <v>0</v>
      </c>
      <c r="K35" s="176" t="s">
        <v>318</v>
      </c>
      <c r="Z35" s="175">
        <f>IF(AQ35="5",BJ35,0)</f>
        <v>0</v>
      </c>
      <c r="AB35" s="175">
        <f>IF(AQ35="1",BH35,0)</f>
        <v>0</v>
      </c>
      <c r="AC35" s="175">
        <f>IF(AQ35="1",BI35,0)</f>
        <v>0</v>
      </c>
      <c r="AD35" s="175">
        <f>IF(AQ35="7",BH35,0)</f>
        <v>0</v>
      </c>
      <c r="AE35" s="175">
        <f>IF(AQ35="7",BI35,0)</f>
        <v>0</v>
      </c>
      <c r="AF35" s="175">
        <f>IF(AQ35="2",BH35,0)</f>
        <v>0</v>
      </c>
      <c r="AG35" s="175">
        <f>IF(AQ35="2",BI35,0)</f>
        <v>0</v>
      </c>
      <c r="AH35" s="175">
        <f>IF(AQ35="0",BJ35,0)</f>
        <v>0</v>
      </c>
      <c r="AI35" s="158" t="s">
        <v>340</v>
      </c>
      <c r="AJ35" s="175">
        <f>IF(AN35=0,J35,0)</f>
        <v>0</v>
      </c>
      <c r="AK35" s="175">
        <f>IF(AN35=12,J35,0)</f>
        <v>0</v>
      </c>
      <c r="AL35" s="175">
        <f>IF(AN35=21,J35,0)</f>
        <v>0</v>
      </c>
      <c r="AN35" s="175">
        <v>21</v>
      </c>
      <c r="AO35" s="175">
        <f>G35*0</f>
        <v>0</v>
      </c>
      <c r="AP35" s="175">
        <f>G35*(1-0)</f>
        <v>0</v>
      </c>
      <c r="AQ35" s="177" t="s">
        <v>260</v>
      </c>
      <c r="AV35" s="175">
        <f>AW35+AX35</f>
        <v>0</v>
      </c>
      <c r="AW35" s="175">
        <f>F35*AO35</f>
        <v>0</v>
      </c>
      <c r="AX35" s="175">
        <f>F35*AP35</f>
        <v>0</v>
      </c>
      <c r="AY35" s="177" t="s">
        <v>380</v>
      </c>
      <c r="AZ35" s="177" t="s">
        <v>342</v>
      </c>
      <c r="BA35" s="158" t="s">
        <v>343</v>
      </c>
      <c r="BC35" s="175">
        <f>AW35+AX35</f>
        <v>0</v>
      </c>
      <c r="BD35" s="175">
        <f>G35/(100-BE35)*100</f>
        <v>0</v>
      </c>
      <c r="BE35" s="175">
        <v>0</v>
      </c>
      <c r="BF35" s="175">
        <f>35</f>
        <v>35</v>
      </c>
      <c r="BH35" s="175">
        <f>F35*AO35</f>
        <v>0</v>
      </c>
      <c r="BI35" s="175">
        <f>F35*AP35</f>
        <v>0</v>
      </c>
      <c r="BJ35" s="175">
        <f>F35*G35</f>
        <v>0</v>
      </c>
      <c r="BK35" s="175"/>
      <c r="BL35" s="175">
        <v>12</v>
      </c>
      <c r="BW35" s="175">
        <v>21</v>
      </c>
    </row>
    <row r="36" spans="1:75" ht="13.5" customHeight="1">
      <c r="A36" s="137" t="s">
        <v>280</v>
      </c>
      <c r="B36" s="138" t="s">
        <v>352</v>
      </c>
      <c r="C36" s="520" t="s">
        <v>425</v>
      </c>
      <c r="D36" s="521"/>
      <c r="E36" s="138" t="s">
        <v>261</v>
      </c>
      <c r="F36" s="175">
        <v>27</v>
      </c>
      <c r="G36" s="175">
        <v>0</v>
      </c>
      <c r="H36" s="175">
        <f>F36*AO36</f>
        <v>0</v>
      </c>
      <c r="I36" s="175">
        <f>F36*AP36</f>
        <v>0</v>
      </c>
      <c r="J36" s="175">
        <f>F36*G36</f>
        <v>0</v>
      </c>
      <c r="K36" s="176" t="s">
        <v>262</v>
      </c>
      <c r="Z36" s="175">
        <f>IF(AQ36="5",BJ36,0)</f>
        <v>0</v>
      </c>
      <c r="AB36" s="175">
        <f>IF(AQ36="1",BH36,0)</f>
        <v>0</v>
      </c>
      <c r="AC36" s="175">
        <f>IF(AQ36="1",BI36,0)</f>
        <v>0</v>
      </c>
      <c r="AD36" s="175">
        <f>IF(AQ36="7",BH36,0)</f>
        <v>0</v>
      </c>
      <c r="AE36" s="175">
        <f>IF(AQ36="7",BI36,0)</f>
        <v>0</v>
      </c>
      <c r="AF36" s="175">
        <f>IF(AQ36="2",BH36,0)</f>
        <v>0</v>
      </c>
      <c r="AG36" s="175">
        <f>IF(AQ36="2",BI36,0)</f>
        <v>0</v>
      </c>
      <c r="AH36" s="175">
        <f>IF(AQ36="0",BJ36,0)</f>
        <v>0</v>
      </c>
      <c r="AI36" s="158" t="s">
        <v>340</v>
      </c>
      <c r="AJ36" s="175">
        <f>IF(AN36=0,J36,0)</f>
        <v>0</v>
      </c>
      <c r="AK36" s="175">
        <f>IF(AN36=12,J36,0)</f>
        <v>0</v>
      </c>
      <c r="AL36" s="175">
        <f>IF(AN36=21,J36,0)</f>
        <v>0</v>
      </c>
      <c r="AN36" s="175">
        <v>21</v>
      </c>
      <c r="AO36" s="175">
        <f>G36*0</f>
        <v>0</v>
      </c>
      <c r="AP36" s="175">
        <f>G36*(1-0)</f>
        <v>0</v>
      </c>
      <c r="AQ36" s="177" t="s">
        <v>260</v>
      </c>
      <c r="AV36" s="175">
        <f>AW36+AX36</f>
        <v>0</v>
      </c>
      <c r="AW36" s="175">
        <f>F36*AO36</f>
        <v>0</v>
      </c>
      <c r="AX36" s="175">
        <f>F36*AP36</f>
        <v>0</v>
      </c>
      <c r="AY36" s="177" t="s">
        <v>380</v>
      </c>
      <c r="AZ36" s="177" t="s">
        <v>342</v>
      </c>
      <c r="BA36" s="158" t="s">
        <v>343</v>
      </c>
      <c r="BC36" s="175">
        <f>AW36+AX36</f>
        <v>0</v>
      </c>
      <c r="BD36" s="175">
        <f>G36/(100-BE36)*100</f>
        <v>0</v>
      </c>
      <c r="BE36" s="175">
        <v>0</v>
      </c>
      <c r="BF36" s="175">
        <f>36</f>
        <v>36</v>
      </c>
      <c r="BH36" s="175">
        <f>F36*AO36</f>
        <v>0</v>
      </c>
      <c r="BI36" s="175">
        <f>F36*AP36</f>
        <v>0</v>
      </c>
      <c r="BJ36" s="175">
        <f>F36*G36</f>
        <v>0</v>
      </c>
      <c r="BK36" s="175"/>
      <c r="BL36" s="175">
        <v>12</v>
      </c>
      <c r="BW36" s="175">
        <v>21</v>
      </c>
    </row>
    <row r="37" spans="1:75" ht="27" customHeight="1">
      <c r="A37" s="137" t="s">
        <v>281</v>
      </c>
      <c r="B37" s="138" t="s">
        <v>345</v>
      </c>
      <c r="C37" s="520" t="s">
        <v>426</v>
      </c>
      <c r="D37" s="521"/>
      <c r="E37" s="138" t="s">
        <v>297</v>
      </c>
      <c r="F37" s="175">
        <v>75</v>
      </c>
      <c r="G37" s="175">
        <v>0</v>
      </c>
      <c r="H37" s="175">
        <f>F37*AO37</f>
        <v>0</v>
      </c>
      <c r="I37" s="175">
        <f>F37*AP37</f>
        <v>0</v>
      </c>
      <c r="J37" s="175">
        <f>F37*G37</f>
        <v>0</v>
      </c>
      <c r="K37" s="176" t="s">
        <v>318</v>
      </c>
      <c r="Z37" s="175">
        <f>IF(AQ37="5",BJ37,0)</f>
        <v>0</v>
      </c>
      <c r="AB37" s="175">
        <f>IF(AQ37="1",BH37,0)</f>
        <v>0</v>
      </c>
      <c r="AC37" s="175">
        <f>IF(AQ37="1",BI37,0)</f>
        <v>0</v>
      </c>
      <c r="AD37" s="175">
        <f>IF(AQ37="7",BH37,0)</f>
        <v>0</v>
      </c>
      <c r="AE37" s="175">
        <f>IF(AQ37="7",BI37,0)</f>
        <v>0</v>
      </c>
      <c r="AF37" s="175">
        <f>IF(AQ37="2",BH37,0)</f>
        <v>0</v>
      </c>
      <c r="AG37" s="175">
        <f>IF(AQ37="2",BI37,0)</f>
        <v>0</v>
      </c>
      <c r="AH37" s="175">
        <f>IF(AQ37="0",BJ37,0)</f>
        <v>0</v>
      </c>
      <c r="AI37" s="158" t="s">
        <v>340</v>
      </c>
      <c r="AJ37" s="175">
        <f>IF(AN37=0,J37,0)</f>
        <v>0</v>
      </c>
      <c r="AK37" s="175">
        <f>IF(AN37=12,J37,0)</f>
        <v>0</v>
      </c>
      <c r="AL37" s="175">
        <f>IF(AN37=21,J37,0)</f>
        <v>0</v>
      </c>
      <c r="AN37" s="175">
        <v>21</v>
      </c>
      <c r="AO37" s="175">
        <f>G37*0</f>
        <v>0</v>
      </c>
      <c r="AP37" s="175">
        <f>G37*(1-0)</f>
        <v>0</v>
      </c>
      <c r="AQ37" s="177" t="s">
        <v>260</v>
      </c>
      <c r="AV37" s="175">
        <f>AW37+AX37</f>
        <v>0</v>
      </c>
      <c r="AW37" s="175">
        <f>F37*AO37</f>
        <v>0</v>
      </c>
      <c r="AX37" s="175">
        <f>F37*AP37</f>
        <v>0</v>
      </c>
      <c r="AY37" s="177" t="s">
        <v>380</v>
      </c>
      <c r="AZ37" s="177" t="s">
        <v>342</v>
      </c>
      <c r="BA37" s="158" t="s">
        <v>343</v>
      </c>
      <c r="BC37" s="175">
        <f>AW37+AX37</f>
        <v>0</v>
      </c>
      <c r="BD37" s="175">
        <f>G37/(100-BE37)*100</f>
        <v>0</v>
      </c>
      <c r="BE37" s="175">
        <v>0</v>
      </c>
      <c r="BF37" s="175">
        <f>37</f>
        <v>37</v>
      </c>
      <c r="BH37" s="175">
        <f>F37*AO37</f>
        <v>0</v>
      </c>
      <c r="BI37" s="175">
        <f>F37*AP37</f>
        <v>0</v>
      </c>
      <c r="BJ37" s="175">
        <f>F37*G37</f>
        <v>0</v>
      </c>
      <c r="BK37" s="175"/>
      <c r="BL37" s="175">
        <v>12</v>
      </c>
      <c r="BW37" s="175">
        <v>21</v>
      </c>
    </row>
    <row r="38" spans="1:11" ht="13.5" customHeight="1">
      <c r="A38" s="178"/>
      <c r="B38" s="179" t="s">
        <v>220</v>
      </c>
      <c r="C38" s="571" t="s">
        <v>427</v>
      </c>
      <c r="D38" s="572"/>
      <c r="E38" s="572"/>
      <c r="F38" s="572"/>
      <c r="G38" s="572"/>
      <c r="H38" s="572"/>
      <c r="I38" s="572"/>
      <c r="J38" s="572"/>
      <c r="K38" s="573"/>
    </row>
    <row r="39" spans="1:75" ht="13.5" customHeight="1">
      <c r="A39" s="137" t="s">
        <v>282</v>
      </c>
      <c r="B39" s="138" t="s">
        <v>352</v>
      </c>
      <c r="C39" s="520" t="s">
        <v>428</v>
      </c>
      <c r="D39" s="521"/>
      <c r="E39" s="138" t="s">
        <v>261</v>
      </c>
      <c r="F39" s="175">
        <v>150</v>
      </c>
      <c r="G39" s="175">
        <v>0</v>
      </c>
      <c r="H39" s="175">
        <f>F39*AO39</f>
        <v>0</v>
      </c>
      <c r="I39" s="175">
        <f>F39*AP39</f>
        <v>0</v>
      </c>
      <c r="J39" s="175">
        <f>F39*G39</f>
        <v>0</v>
      </c>
      <c r="K39" s="176" t="s">
        <v>262</v>
      </c>
      <c r="Z39" s="175">
        <f>IF(AQ39="5",BJ39,0)</f>
        <v>0</v>
      </c>
      <c r="AB39" s="175">
        <f>IF(AQ39="1",BH39,0)</f>
        <v>0</v>
      </c>
      <c r="AC39" s="175">
        <f>IF(AQ39="1",BI39,0)</f>
        <v>0</v>
      </c>
      <c r="AD39" s="175">
        <f>IF(AQ39="7",BH39,0)</f>
        <v>0</v>
      </c>
      <c r="AE39" s="175">
        <f>IF(AQ39="7",BI39,0)</f>
        <v>0</v>
      </c>
      <c r="AF39" s="175">
        <f>IF(AQ39="2",BH39,0)</f>
        <v>0</v>
      </c>
      <c r="AG39" s="175">
        <f>IF(AQ39="2",BI39,0)</f>
        <v>0</v>
      </c>
      <c r="AH39" s="175">
        <f>IF(AQ39="0",BJ39,0)</f>
        <v>0</v>
      </c>
      <c r="AI39" s="158" t="s">
        <v>340</v>
      </c>
      <c r="AJ39" s="175">
        <f>IF(AN39=0,J39,0)</f>
        <v>0</v>
      </c>
      <c r="AK39" s="175">
        <f>IF(AN39=12,J39,0)</f>
        <v>0</v>
      </c>
      <c r="AL39" s="175">
        <f>IF(AN39=21,J39,0)</f>
        <v>0</v>
      </c>
      <c r="AN39" s="175">
        <v>21</v>
      </c>
      <c r="AO39" s="175">
        <f>G39*0</f>
        <v>0</v>
      </c>
      <c r="AP39" s="175">
        <f>G39*(1-0)</f>
        <v>0</v>
      </c>
      <c r="AQ39" s="177" t="s">
        <v>260</v>
      </c>
      <c r="AV39" s="175">
        <f>AW39+AX39</f>
        <v>0</v>
      </c>
      <c r="AW39" s="175">
        <f>F39*AO39</f>
        <v>0</v>
      </c>
      <c r="AX39" s="175">
        <f>F39*AP39</f>
        <v>0</v>
      </c>
      <c r="AY39" s="177" t="s">
        <v>380</v>
      </c>
      <c r="AZ39" s="177" t="s">
        <v>342</v>
      </c>
      <c r="BA39" s="158" t="s">
        <v>343</v>
      </c>
      <c r="BC39" s="175">
        <f>AW39+AX39</f>
        <v>0</v>
      </c>
      <c r="BD39" s="175">
        <f>G39/(100-BE39)*100</f>
        <v>0</v>
      </c>
      <c r="BE39" s="175">
        <v>0</v>
      </c>
      <c r="BF39" s="175">
        <f>39</f>
        <v>39</v>
      </c>
      <c r="BH39" s="175">
        <f>F39*AO39</f>
        <v>0</v>
      </c>
      <c r="BI39" s="175">
        <f>F39*AP39</f>
        <v>0</v>
      </c>
      <c r="BJ39" s="175">
        <f>F39*G39</f>
        <v>0</v>
      </c>
      <c r="BK39" s="175"/>
      <c r="BL39" s="175">
        <v>12</v>
      </c>
      <c r="BW39" s="175">
        <v>21</v>
      </c>
    </row>
    <row r="40" spans="1:47" ht="15" customHeight="1">
      <c r="A40" s="171" t="s">
        <v>180</v>
      </c>
      <c r="B40" s="172" t="s">
        <v>275</v>
      </c>
      <c r="C40" s="566" t="s">
        <v>276</v>
      </c>
      <c r="D40" s="567"/>
      <c r="E40" s="173" t="s">
        <v>224</v>
      </c>
      <c r="F40" s="173" t="s">
        <v>224</v>
      </c>
      <c r="G40" s="173" t="s">
        <v>224</v>
      </c>
      <c r="H40" s="153">
        <f>SUM(H41:H43)</f>
        <v>0</v>
      </c>
      <c r="I40" s="153">
        <f>SUM(I41:I43)</f>
        <v>0</v>
      </c>
      <c r="J40" s="153">
        <f>SUM(J41:J43)</f>
        <v>0</v>
      </c>
      <c r="K40" s="174" t="s">
        <v>180</v>
      </c>
      <c r="AI40" s="158" t="s">
        <v>340</v>
      </c>
      <c r="AS40" s="153">
        <f>SUM(AJ41:AJ43)</f>
        <v>0</v>
      </c>
      <c r="AT40" s="153">
        <f>SUM(AK41:AK43)</f>
        <v>0</v>
      </c>
      <c r="AU40" s="153">
        <f>SUM(AL41:AL43)</f>
        <v>0</v>
      </c>
    </row>
    <row r="41" spans="1:75" ht="13.5" customHeight="1">
      <c r="A41" s="137" t="s">
        <v>275</v>
      </c>
      <c r="B41" s="138" t="s">
        <v>429</v>
      </c>
      <c r="C41" s="520" t="s">
        <v>430</v>
      </c>
      <c r="D41" s="521"/>
      <c r="E41" s="138" t="s">
        <v>297</v>
      </c>
      <c r="F41" s="175">
        <v>8</v>
      </c>
      <c r="G41" s="175">
        <v>0</v>
      </c>
      <c r="H41" s="175">
        <f>F41*AO41</f>
        <v>0</v>
      </c>
      <c r="I41" s="175">
        <f>F41*AP41</f>
        <v>0</v>
      </c>
      <c r="J41" s="175">
        <f>F41*G41</f>
        <v>0</v>
      </c>
      <c r="K41" s="176" t="s">
        <v>262</v>
      </c>
      <c r="Z41" s="175">
        <f>IF(AQ41="5",BJ41,0)</f>
        <v>0</v>
      </c>
      <c r="AB41" s="175">
        <f>IF(AQ41="1",BH41,0)</f>
        <v>0</v>
      </c>
      <c r="AC41" s="175">
        <f>IF(AQ41="1",BI41,0)</f>
        <v>0</v>
      </c>
      <c r="AD41" s="175">
        <f>IF(AQ41="7",BH41,0)</f>
        <v>0</v>
      </c>
      <c r="AE41" s="175">
        <f>IF(AQ41="7",BI41,0)</f>
        <v>0</v>
      </c>
      <c r="AF41" s="175">
        <f>IF(AQ41="2",BH41,0)</f>
        <v>0</v>
      </c>
      <c r="AG41" s="175">
        <f>IF(AQ41="2",BI41,0)</f>
        <v>0</v>
      </c>
      <c r="AH41" s="175">
        <f>IF(AQ41="0",BJ41,0)</f>
        <v>0</v>
      </c>
      <c r="AI41" s="158" t="s">
        <v>340</v>
      </c>
      <c r="AJ41" s="175">
        <f>IF(AN41=0,J41,0)</f>
        <v>0</v>
      </c>
      <c r="AK41" s="175">
        <f>IF(AN41=12,J41,0)</f>
        <v>0</v>
      </c>
      <c r="AL41" s="175">
        <f>IF(AN41=21,J41,0)</f>
        <v>0</v>
      </c>
      <c r="AN41" s="175">
        <v>21</v>
      </c>
      <c r="AO41" s="175">
        <f>G41*0</f>
        <v>0</v>
      </c>
      <c r="AP41" s="175">
        <f>G41*(1-0)</f>
        <v>0</v>
      </c>
      <c r="AQ41" s="177" t="s">
        <v>260</v>
      </c>
      <c r="AV41" s="175">
        <f>AW41+AX41</f>
        <v>0</v>
      </c>
      <c r="AW41" s="175">
        <f>F41*AO41</f>
        <v>0</v>
      </c>
      <c r="AX41" s="175">
        <f>F41*AP41</f>
        <v>0</v>
      </c>
      <c r="AY41" s="177" t="s">
        <v>278</v>
      </c>
      <c r="AZ41" s="177" t="s">
        <v>342</v>
      </c>
      <c r="BA41" s="158" t="s">
        <v>343</v>
      </c>
      <c r="BC41" s="175">
        <f>AW41+AX41</f>
        <v>0</v>
      </c>
      <c r="BD41" s="175">
        <f>G41/(100-BE41)*100</f>
        <v>0</v>
      </c>
      <c r="BE41" s="175">
        <v>0</v>
      </c>
      <c r="BF41" s="175">
        <f>41</f>
        <v>41</v>
      </c>
      <c r="BH41" s="175">
        <f>F41*AO41</f>
        <v>0</v>
      </c>
      <c r="BI41" s="175">
        <f>F41*AP41</f>
        <v>0</v>
      </c>
      <c r="BJ41" s="175">
        <f>F41*G41</f>
        <v>0</v>
      </c>
      <c r="BK41" s="175"/>
      <c r="BL41" s="175">
        <v>16</v>
      </c>
      <c r="BW41" s="175">
        <v>21</v>
      </c>
    </row>
    <row r="42" spans="1:75" ht="13.5" customHeight="1">
      <c r="A42" s="137" t="s">
        <v>283</v>
      </c>
      <c r="B42" s="138" t="s">
        <v>431</v>
      </c>
      <c r="C42" s="520" t="s">
        <v>432</v>
      </c>
      <c r="D42" s="521"/>
      <c r="E42" s="138" t="s">
        <v>297</v>
      </c>
      <c r="F42" s="175">
        <v>10</v>
      </c>
      <c r="G42" s="175">
        <v>0</v>
      </c>
      <c r="H42" s="175">
        <f>F42*AO42</f>
        <v>0</v>
      </c>
      <c r="I42" s="175">
        <f>F42*AP42</f>
        <v>0</v>
      </c>
      <c r="J42" s="175">
        <f>F42*G42</f>
        <v>0</v>
      </c>
      <c r="K42" s="176" t="s">
        <v>262</v>
      </c>
      <c r="Z42" s="175">
        <f>IF(AQ42="5",BJ42,0)</f>
        <v>0</v>
      </c>
      <c r="AB42" s="175">
        <f>IF(AQ42="1",BH42,0)</f>
        <v>0</v>
      </c>
      <c r="AC42" s="175">
        <f>IF(AQ42="1",BI42,0)</f>
        <v>0</v>
      </c>
      <c r="AD42" s="175">
        <f>IF(AQ42="7",BH42,0)</f>
        <v>0</v>
      </c>
      <c r="AE42" s="175">
        <f>IF(AQ42="7",BI42,0)</f>
        <v>0</v>
      </c>
      <c r="AF42" s="175">
        <f>IF(AQ42="2",BH42,0)</f>
        <v>0</v>
      </c>
      <c r="AG42" s="175">
        <f>IF(AQ42="2",BI42,0)</f>
        <v>0</v>
      </c>
      <c r="AH42" s="175">
        <f>IF(AQ42="0",BJ42,0)</f>
        <v>0</v>
      </c>
      <c r="AI42" s="158" t="s">
        <v>340</v>
      </c>
      <c r="AJ42" s="175">
        <f>IF(AN42=0,J42,0)</f>
        <v>0</v>
      </c>
      <c r="AK42" s="175">
        <f>IF(AN42=12,J42,0)</f>
        <v>0</v>
      </c>
      <c r="AL42" s="175">
        <f>IF(AN42=21,J42,0)</f>
        <v>0</v>
      </c>
      <c r="AN42" s="175">
        <v>21</v>
      </c>
      <c r="AO42" s="175">
        <f>G42*0</f>
        <v>0</v>
      </c>
      <c r="AP42" s="175">
        <f>G42*(1-0)</f>
        <v>0</v>
      </c>
      <c r="AQ42" s="177" t="s">
        <v>260</v>
      </c>
      <c r="AV42" s="175">
        <f>AW42+AX42</f>
        <v>0</v>
      </c>
      <c r="AW42" s="175">
        <f>F42*AO42</f>
        <v>0</v>
      </c>
      <c r="AX42" s="175">
        <f>F42*AP42</f>
        <v>0</v>
      </c>
      <c r="AY42" s="177" t="s">
        <v>278</v>
      </c>
      <c r="AZ42" s="177" t="s">
        <v>342</v>
      </c>
      <c r="BA42" s="158" t="s">
        <v>343</v>
      </c>
      <c r="BC42" s="175">
        <f>AW42+AX42</f>
        <v>0</v>
      </c>
      <c r="BD42" s="175">
        <f>G42/(100-BE42)*100</f>
        <v>0</v>
      </c>
      <c r="BE42" s="175">
        <v>0</v>
      </c>
      <c r="BF42" s="175">
        <f>42</f>
        <v>42</v>
      </c>
      <c r="BH42" s="175">
        <f>F42*AO42</f>
        <v>0</v>
      </c>
      <c r="BI42" s="175">
        <f>F42*AP42</f>
        <v>0</v>
      </c>
      <c r="BJ42" s="175">
        <f>F42*G42</f>
        <v>0</v>
      </c>
      <c r="BK42" s="175"/>
      <c r="BL42" s="175">
        <v>16</v>
      </c>
      <c r="BW42" s="175">
        <v>21</v>
      </c>
    </row>
    <row r="43" spans="1:75" ht="13.5" customHeight="1">
      <c r="A43" s="137" t="s">
        <v>285</v>
      </c>
      <c r="B43" s="138" t="s">
        <v>433</v>
      </c>
      <c r="C43" s="520" t="s">
        <v>434</v>
      </c>
      <c r="D43" s="521"/>
      <c r="E43" s="138" t="s">
        <v>297</v>
      </c>
      <c r="F43" s="175">
        <v>10</v>
      </c>
      <c r="G43" s="175">
        <v>0</v>
      </c>
      <c r="H43" s="175">
        <f>F43*AO43</f>
        <v>0</v>
      </c>
      <c r="I43" s="175">
        <f>F43*AP43</f>
        <v>0</v>
      </c>
      <c r="J43" s="175">
        <f>F43*G43</f>
        <v>0</v>
      </c>
      <c r="K43" s="176" t="s">
        <v>262</v>
      </c>
      <c r="Z43" s="175">
        <f>IF(AQ43="5",BJ43,0)</f>
        <v>0</v>
      </c>
      <c r="AB43" s="175">
        <f>IF(AQ43="1",BH43,0)</f>
        <v>0</v>
      </c>
      <c r="AC43" s="175">
        <f>IF(AQ43="1",BI43,0)</f>
        <v>0</v>
      </c>
      <c r="AD43" s="175">
        <f>IF(AQ43="7",BH43,0)</f>
        <v>0</v>
      </c>
      <c r="AE43" s="175">
        <f>IF(AQ43="7",BI43,0)</f>
        <v>0</v>
      </c>
      <c r="AF43" s="175">
        <f>IF(AQ43="2",BH43,0)</f>
        <v>0</v>
      </c>
      <c r="AG43" s="175">
        <f>IF(AQ43="2",BI43,0)</f>
        <v>0</v>
      </c>
      <c r="AH43" s="175">
        <f>IF(AQ43="0",BJ43,0)</f>
        <v>0</v>
      </c>
      <c r="AI43" s="158" t="s">
        <v>340</v>
      </c>
      <c r="AJ43" s="175">
        <f>IF(AN43=0,J43,0)</f>
        <v>0</v>
      </c>
      <c r="AK43" s="175">
        <f>IF(AN43=12,J43,0)</f>
        <v>0</v>
      </c>
      <c r="AL43" s="175">
        <f>IF(AN43=21,J43,0)</f>
        <v>0</v>
      </c>
      <c r="AN43" s="175">
        <v>21</v>
      </c>
      <c r="AO43" s="175">
        <f>G43*0</f>
        <v>0</v>
      </c>
      <c r="AP43" s="175">
        <f>G43*(1-0)</f>
        <v>0</v>
      </c>
      <c r="AQ43" s="177" t="s">
        <v>260</v>
      </c>
      <c r="AV43" s="175">
        <f>AW43+AX43</f>
        <v>0</v>
      </c>
      <c r="AW43" s="175">
        <f>F43*AO43</f>
        <v>0</v>
      </c>
      <c r="AX43" s="175">
        <f>F43*AP43</f>
        <v>0</v>
      </c>
      <c r="AY43" s="177" t="s">
        <v>278</v>
      </c>
      <c r="AZ43" s="177" t="s">
        <v>342</v>
      </c>
      <c r="BA43" s="158" t="s">
        <v>343</v>
      </c>
      <c r="BC43" s="175">
        <f>AW43+AX43</f>
        <v>0</v>
      </c>
      <c r="BD43" s="175">
        <f>G43/(100-BE43)*100</f>
        <v>0</v>
      </c>
      <c r="BE43" s="175">
        <v>0</v>
      </c>
      <c r="BF43" s="175">
        <f>43</f>
        <v>43</v>
      </c>
      <c r="BH43" s="175">
        <f>F43*AO43</f>
        <v>0</v>
      </c>
      <c r="BI43" s="175">
        <f>F43*AP43</f>
        <v>0</v>
      </c>
      <c r="BJ43" s="175">
        <f>F43*G43</f>
        <v>0</v>
      </c>
      <c r="BK43" s="175"/>
      <c r="BL43" s="175">
        <v>16</v>
      </c>
      <c r="BW43" s="175">
        <v>21</v>
      </c>
    </row>
    <row r="44" spans="1:47" ht="15" customHeight="1">
      <c r="A44" s="171" t="s">
        <v>180</v>
      </c>
      <c r="B44" s="172" t="s">
        <v>285</v>
      </c>
      <c r="C44" s="566" t="s">
        <v>309</v>
      </c>
      <c r="D44" s="567"/>
      <c r="E44" s="173" t="s">
        <v>224</v>
      </c>
      <c r="F44" s="173" t="s">
        <v>224</v>
      </c>
      <c r="G44" s="173" t="s">
        <v>224</v>
      </c>
      <c r="H44" s="153">
        <f>SUM(H45:H48)</f>
        <v>0</v>
      </c>
      <c r="I44" s="153">
        <f>SUM(I45:I48)</f>
        <v>0</v>
      </c>
      <c r="J44" s="153">
        <f>SUM(J45:J48)</f>
        <v>0</v>
      </c>
      <c r="K44" s="174" t="s">
        <v>180</v>
      </c>
      <c r="AI44" s="158" t="s">
        <v>340</v>
      </c>
      <c r="AS44" s="153">
        <f>SUM(AJ45:AJ48)</f>
        <v>0</v>
      </c>
      <c r="AT44" s="153">
        <f>SUM(AK45:AK48)</f>
        <v>0</v>
      </c>
      <c r="AU44" s="153">
        <f>SUM(AL45:AL48)</f>
        <v>0</v>
      </c>
    </row>
    <row r="45" spans="1:75" ht="27" customHeight="1">
      <c r="A45" s="137" t="s">
        <v>286</v>
      </c>
      <c r="B45" s="138" t="s">
        <v>435</v>
      </c>
      <c r="C45" s="520" t="s">
        <v>436</v>
      </c>
      <c r="D45" s="521"/>
      <c r="E45" s="138" t="s">
        <v>437</v>
      </c>
      <c r="F45" s="175">
        <v>119</v>
      </c>
      <c r="G45" s="175">
        <v>0</v>
      </c>
      <c r="H45" s="175">
        <f>F45*AO45</f>
        <v>0</v>
      </c>
      <c r="I45" s="175">
        <f>F45*AP45</f>
        <v>0</v>
      </c>
      <c r="J45" s="175">
        <f>F45*G45</f>
        <v>0</v>
      </c>
      <c r="K45" s="176" t="s">
        <v>180</v>
      </c>
      <c r="Z45" s="175">
        <f>IF(AQ45="5",BJ45,0)</f>
        <v>0</v>
      </c>
      <c r="AB45" s="175">
        <f>IF(AQ45="1",BH45,0)</f>
        <v>0</v>
      </c>
      <c r="AC45" s="175">
        <f>IF(AQ45="1",BI45,0)</f>
        <v>0</v>
      </c>
      <c r="AD45" s="175">
        <f>IF(AQ45="7",BH45,0)</f>
        <v>0</v>
      </c>
      <c r="AE45" s="175">
        <f>IF(AQ45="7",BI45,0)</f>
        <v>0</v>
      </c>
      <c r="AF45" s="175">
        <f>IF(AQ45="2",BH45,0)</f>
        <v>0</v>
      </c>
      <c r="AG45" s="175">
        <f>IF(AQ45="2",BI45,0)</f>
        <v>0</v>
      </c>
      <c r="AH45" s="175">
        <f>IF(AQ45="0",BJ45,0)</f>
        <v>0</v>
      </c>
      <c r="AI45" s="158" t="s">
        <v>340</v>
      </c>
      <c r="AJ45" s="175">
        <f>IF(AN45=0,J45,0)</f>
        <v>0</v>
      </c>
      <c r="AK45" s="175">
        <f>IF(AN45=12,J45,0)</f>
        <v>0</v>
      </c>
      <c r="AL45" s="175">
        <f>IF(AN45=21,J45,0)</f>
        <v>0</v>
      </c>
      <c r="AN45" s="175">
        <v>21</v>
      </c>
      <c r="AO45" s="175">
        <f>G45*0</f>
        <v>0</v>
      </c>
      <c r="AP45" s="175">
        <f>G45*(1-0)</f>
        <v>0</v>
      </c>
      <c r="AQ45" s="177" t="s">
        <v>260</v>
      </c>
      <c r="AV45" s="175">
        <f>AW45+AX45</f>
        <v>0</v>
      </c>
      <c r="AW45" s="175">
        <f>F45*AO45</f>
        <v>0</v>
      </c>
      <c r="AX45" s="175">
        <f>F45*AP45</f>
        <v>0</v>
      </c>
      <c r="AY45" s="177" t="s">
        <v>311</v>
      </c>
      <c r="AZ45" s="177" t="s">
        <v>342</v>
      </c>
      <c r="BA45" s="158" t="s">
        <v>343</v>
      </c>
      <c r="BC45" s="175">
        <f>AW45+AX45</f>
        <v>0</v>
      </c>
      <c r="BD45" s="175">
        <f>G45/(100-BE45)*100</f>
        <v>0</v>
      </c>
      <c r="BE45" s="175">
        <v>0</v>
      </c>
      <c r="BF45" s="175">
        <f>45</f>
        <v>45</v>
      </c>
      <c r="BH45" s="175">
        <f>F45*AO45</f>
        <v>0</v>
      </c>
      <c r="BI45" s="175">
        <f>F45*AP45</f>
        <v>0</v>
      </c>
      <c r="BJ45" s="175">
        <f>F45*G45</f>
        <v>0</v>
      </c>
      <c r="BK45" s="175"/>
      <c r="BL45" s="175">
        <v>18</v>
      </c>
      <c r="BW45" s="175">
        <v>21</v>
      </c>
    </row>
    <row r="46" spans="1:75" ht="27" customHeight="1">
      <c r="A46" s="137" t="s">
        <v>289</v>
      </c>
      <c r="B46" s="138" t="s">
        <v>438</v>
      </c>
      <c r="C46" s="520" t="s">
        <v>439</v>
      </c>
      <c r="D46" s="521"/>
      <c r="E46" s="138" t="s">
        <v>261</v>
      </c>
      <c r="F46" s="175">
        <v>602</v>
      </c>
      <c r="G46" s="175">
        <v>0</v>
      </c>
      <c r="H46" s="175">
        <f>F46*AO46</f>
        <v>0</v>
      </c>
      <c r="I46" s="175">
        <f>F46*AP46</f>
        <v>0</v>
      </c>
      <c r="J46" s="175">
        <f>F46*G46</f>
        <v>0</v>
      </c>
      <c r="K46" s="176" t="s">
        <v>262</v>
      </c>
      <c r="Z46" s="175">
        <f>IF(AQ46="5",BJ46,0)</f>
        <v>0</v>
      </c>
      <c r="AB46" s="175">
        <f>IF(AQ46="1",BH46,0)</f>
        <v>0</v>
      </c>
      <c r="AC46" s="175">
        <f>IF(AQ46="1",BI46,0)</f>
        <v>0</v>
      </c>
      <c r="AD46" s="175">
        <f>IF(AQ46="7",BH46,0)</f>
        <v>0</v>
      </c>
      <c r="AE46" s="175">
        <f>IF(AQ46="7",BI46,0)</f>
        <v>0</v>
      </c>
      <c r="AF46" s="175">
        <f>IF(AQ46="2",BH46,0)</f>
        <v>0</v>
      </c>
      <c r="AG46" s="175">
        <f>IF(AQ46="2",BI46,0)</f>
        <v>0</v>
      </c>
      <c r="AH46" s="175">
        <f>IF(AQ46="0",BJ46,0)</f>
        <v>0</v>
      </c>
      <c r="AI46" s="158" t="s">
        <v>340</v>
      </c>
      <c r="AJ46" s="175">
        <f>IF(AN46=0,J46,0)</f>
        <v>0</v>
      </c>
      <c r="AK46" s="175">
        <f>IF(AN46=12,J46,0)</f>
        <v>0</v>
      </c>
      <c r="AL46" s="175">
        <f>IF(AN46=21,J46,0)</f>
        <v>0</v>
      </c>
      <c r="AN46" s="175">
        <v>21</v>
      </c>
      <c r="AO46" s="175">
        <f>G46*0.208796659253452</f>
        <v>0</v>
      </c>
      <c r="AP46" s="175">
        <f>G46*(1-0.208796659253452)</f>
        <v>0</v>
      </c>
      <c r="AQ46" s="177" t="s">
        <v>260</v>
      </c>
      <c r="AV46" s="175">
        <f>AW46+AX46</f>
        <v>0</v>
      </c>
      <c r="AW46" s="175">
        <f>F46*AO46</f>
        <v>0</v>
      </c>
      <c r="AX46" s="175">
        <f>F46*AP46</f>
        <v>0</v>
      </c>
      <c r="AY46" s="177" t="s">
        <v>311</v>
      </c>
      <c r="AZ46" s="177" t="s">
        <v>342</v>
      </c>
      <c r="BA46" s="158" t="s">
        <v>343</v>
      </c>
      <c r="BC46" s="175">
        <f>AW46+AX46</f>
        <v>0</v>
      </c>
      <c r="BD46" s="175">
        <f>G46/(100-BE46)*100</f>
        <v>0</v>
      </c>
      <c r="BE46" s="175">
        <v>0</v>
      </c>
      <c r="BF46" s="175">
        <f>46</f>
        <v>46</v>
      </c>
      <c r="BH46" s="175">
        <f>F46*AO46</f>
        <v>0</v>
      </c>
      <c r="BI46" s="175">
        <f>F46*AP46</f>
        <v>0</v>
      </c>
      <c r="BJ46" s="175">
        <f>F46*G46</f>
        <v>0</v>
      </c>
      <c r="BK46" s="175"/>
      <c r="BL46" s="175">
        <v>18</v>
      </c>
      <c r="BW46" s="175">
        <v>21</v>
      </c>
    </row>
    <row r="47" spans="1:11" ht="13.5" customHeight="1">
      <c r="A47" s="178"/>
      <c r="B47" s="179" t="s">
        <v>220</v>
      </c>
      <c r="C47" s="571" t="s">
        <v>440</v>
      </c>
      <c r="D47" s="572"/>
      <c r="E47" s="572"/>
      <c r="F47" s="572"/>
      <c r="G47" s="572"/>
      <c r="H47" s="572"/>
      <c r="I47" s="572"/>
      <c r="J47" s="572"/>
      <c r="K47" s="573"/>
    </row>
    <row r="48" spans="1:75" ht="13.5" customHeight="1">
      <c r="A48" s="137" t="s">
        <v>296</v>
      </c>
      <c r="B48" s="138" t="s">
        <v>441</v>
      </c>
      <c r="C48" s="520" t="s">
        <v>442</v>
      </c>
      <c r="D48" s="521"/>
      <c r="E48" s="138" t="s">
        <v>261</v>
      </c>
      <c r="F48" s="175">
        <v>602</v>
      </c>
      <c r="G48" s="175">
        <v>0</v>
      </c>
      <c r="H48" s="175">
        <f>F48*AO48</f>
        <v>0</v>
      </c>
      <c r="I48" s="175">
        <f>F48*AP48</f>
        <v>0</v>
      </c>
      <c r="J48" s="175">
        <f>F48*G48</f>
        <v>0</v>
      </c>
      <c r="K48" s="176" t="s">
        <v>262</v>
      </c>
      <c r="Z48" s="175">
        <f>IF(AQ48="5",BJ48,0)</f>
        <v>0</v>
      </c>
      <c r="AB48" s="175">
        <f>IF(AQ48="1",BH48,0)</f>
        <v>0</v>
      </c>
      <c r="AC48" s="175">
        <f>IF(AQ48="1",BI48,0)</f>
        <v>0</v>
      </c>
      <c r="AD48" s="175">
        <f>IF(AQ48="7",BH48,0)</f>
        <v>0</v>
      </c>
      <c r="AE48" s="175">
        <f>IF(AQ48="7",BI48,0)</f>
        <v>0</v>
      </c>
      <c r="AF48" s="175">
        <f>IF(AQ48="2",BH48,0)</f>
        <v>0</v>
      </c>
      <c r="AG48" s="175">
        <f>IF(AQ48="2",BI48,0)</f>
        <v>0</v>
      </c>
      <c r="AH48" s="175">
        <f>IF(AQ48="0",BJ48,0)</f>
        <v>0</v>
      </c>
      <c r="AI48" s="158" t="s">
        <v>340</v>
      </c>
      <c r="AJ48" s="175">
        <f>IF(AN48=0,J48,0)</f>
        <v>0</v>
      </c>
      <c r="AK48" s="175">
        <f>IF(AN48=12,J48,0)</f>
        <v>0</v>
      </c>
      <c r="AL48" s="175">
        <f>IF(AN48=21,J48,0)</f>
        <v>0</v>
      </c>
      <c r="AN48" s="175">
        <v>21</v>
      </c>
      <c r="AO48" s="175">
        <f>G48*0</f>
        <v>0</v>
      </c>
      <c r="AP48" s="175">
        <f>G48*(1-0)</f>
        <v>0</v>
      </c>
      <c r="AQ48" s="177" t="s">
        <v>260</v>
      </c>
      <c r="AV48" s="175">
        <f>AW48+AX48</f>
        <v>0</v>
      </c>
      <c r="AW48" s="175">
        <f>F48*AO48</f>
        <v>0</v>
      </c>
      <c r="AX48" s="175">
        <f>F48*AP48</f>
        <v>0</v>
      </c>
      <c r="AY48" s="177" t="s">
        <v>311</v>
      </c>
      <c r="AZ48" s="177" t="s">
        <v>342</v>
      </c>
      <c r="BA48" s="158" t="s">
        <v>343</v>
      </c>
      <c r="BC48" s="175">
        <f>AW48+AX48</f>
        <v>0</v>
      </c>
      <c r="BD48" s="175">
        <f>G48/(100-BE48)*100</f>
        <v>0</v>
      </c>
      <c r="BE48" s="175">
        <v>0</v>
      </c>
      <c r="BF48" s="175">
        <f>48</f>
        <v>48</v>
      </c>
      <c r="BH48" s="175">
        <f>F48*AO48</f>
        <v>0</v>
      </c>
      <c r="BI48" s="175">
        <f>F48*AP48</f>
        <v>0</v>
      </c>
      <c r="BJ48" s="175">
        <f>F48*G48</f>
        <v>0</v>
      </c>
      <c r="BK48" s="175"/>
      <c r="BL48" s="175">
        <v>18</v>
      </c>
      <c r="BW48" s="175">
        <v>21</v>
      </c>
    </row>
    <row r="49" spans="1:47" ht="15" customHeight="1">
      <c r="A49" s="171" t="s">
        <v>180</v>
      </c>
      <c r="B49" s="172" t="s">
        <v>312</v>
      </c>
      <c r="C49" s="566" t="s">
        <v>443</v>
      </c>
      <c r="D49" s="567"/>
      <c r="E49" s="173" t="s">
        <v>224</v>
      </c>
      <c r="F49" s="173" t="s">
        <v>224</v>
      </c>
      <c r="G49" s="173" t="s">
        <v>224</v>
      </c>
      <c r="H49" s="153">
        <f>SUM(H50:H50)</f>
        <v>0</v>
      </c>
      <c r="I49" s="153">
        <f>SUM(I50:I50)</f>
        <v>0</v>
      </c>
      <c r="J49" s="153">
        <f>SUM(J50:J50)</f>
        <v>0</v>
      </c>
      <c r="K49" s="174" t="s">
        <v>180</v>
      </c>
      <c r="AI49" s="158" t="s">
        <v>340</v>
      </c>
      <c r="AS49" s="153">
        <f>SUM(AJ50:AJ50)</f>
        <v>0</v>
      </c>
      <c r="AT49" s="153">
        <f>SUM(AK50:AK50)</f>
        <v>0</v>
      </c>
      <c r="AU49" s="153">
        <f>SUM(AL50:AL50)</f>
        <v>0</v>
      </c>
    </row>
    <row r="50" spans="1:75" ht="13.5" customHeight="1">
      <c r="A50" s="137" t="s">
        <v>299</v>
      </c>
      <c r="B50" s="138" t="s">
        <v>444</v>
      </c>
      <c r="C50" s="520" t="s">
        <v>445</v>
      </c>
      <c r="D50" s="521"/>
      <c r="E50" s="138" t="s">
        <v>297</v>
      </c>
      <c r="F50" s="175">
        <v>1.2</v>
      </c>
      <c r="G50" s="175">
        <v>0</v>
      </c>
      <c r="H50" s="175">
        <f>F50*AO50</f>
        <v>0</v>
      </c>
      <c r="I50" s="175">
        <f>F50*AP50</f>
        <v>0</v>
      </c>
      <c r="J50" s="175">
        <f>F50*G50</f>
        <v>0</v>
      </c>
      <c r="K50" s="176" t="s">
        <v>318</v>
      </c>
      <c r="Z50" s="175">
        <f>IF(AQ50="5",BJ50,0)</f>
        <v>0</v>
      </c>
      <c r="AB50" s="175">
        <f>IF(AQ50="1",BH50,0)</f>
        <v>0</v>
      </c>
      <c r="AC50" s="175">
        <f>IF(AQ50="1",BI50,0)</f>
        <v>0</v>
      </c>
      <c r="AD50" s="175">
        <f>IF(AQ50="7",BH50,0)</f>
        <v>0</v>
      </c>
      <c r="AE50" s="175">
        <f>IF(AQ50="7",BI50,0)</f>
        <v>0</v>
      </c>
      <c r="AF50" s="175">
        <f>IF(AQ50="2",BH50,0)</f>
        <v>0</v>
      </c>
      <c r="AG50" s="175">
        <f>IF(AQ50="2",BI50,0)</f>
        <v>0</v>
      </c>
      <c r="AH50" s="175">
        <f>IF(AQ50="0",BJ50,0)</f>
        <v>0</v>
      </c>
      <c r="AI50" s="158" t="s">
        <v>340</v>
      </c>
      <c r="AJ50" s="175">
        <f>IF(AN50=0,J50,0)</f>
        <v>0</v>
      </c>
      <c r="AK50" s="175">
        <f>IF(AN50=12,J50,0)</f>
        <v>0</v>
      </c>
      <c r="AL50" s="175">
        <f>IF(AN50=21,J50,0)</f>
        <v>0</v>
      </c>
      <c r="AN50" s="175">
        <v>21</v>
      </c>
      <c r="AO50" s="175">
        <f>G50*0.927563120567376</f>
        <v>0</v>
      </c>
      <c r="AP50" s="175">
        <f>G50*(1-0.927563120567376)</f>
        <v>0</v>
      </c>
      <c r="AQ50" s="177" t="s">
        <v>260</v>
      </c>
      <c r="AV50" s="175">
        <f>AW50+AX50</f>
        <v>0</v>
      </c>
      <c r="AW50" s="175">
        <f>F50*AO50</f>
        <v>0</v>
      </c>
      <c r="AX50" s="175">
        <f>F50*AP50</f>
        <v>0</v>
      </c>
      <c r="AY50" s="177" t="s">
        <v>446</v>
      </c>
      <c r="AZ50" s="177" t="s">
        <v>505</v>
      </c>
      <c r="BA50" s="158" t="s">
        <v>343</v>
      </c>
      <c r="BC50" s="175">
        <f>AW50+AX50</f>
        <v>0</v>
      </c>
      <c r="BD50" s="175">
        <f>G50/(100-BE50)*100</f>
        <v>0</v>
      </c>
      <c r="BE50" s="175">
        <v>0</v>
      </c>
      <c r="BF50" s="175">
        <f>50</f>
        <v>50</v>
      </c>
      <c r="BH50" s="175">
        <f>F50*AO50</f>
        <v>0</v>
      </c>
      <c r="BI50" s="175">
        <f>F50*AP50</f>
        <v>0</v>
      </c>
      <c r="BJ50" s="175">
        <f>F50*G50</f>
        <v>0</v>
      </c>
      <c r="BK50" s="175"/>
      <c r="BL50" s="175">
        <v>27</v>
      </c>
      <c r="BW50" s="175">
        <v>21</v>
      </c>
    </row>
    <row r="51" spans="1:11" ht="40.5" customHeight="1">
      <c r="A51" s="178"/>
      <c r="B51" s="179" t="s">
        <v>220</v>
      </c>
      <c r="C51" s="571" t="s">
        <v>447</v>
      </c>
      <c r="D51" s="572"/>
      <c r="E51" s="572"/>
      <c r="F51" s="572"/>
      <c r="G51" s="572"/>
      <c r="H51" s="572"/>
      <c r="I51" s="572"/>
      <c r="J51" s="572"/>
      <c r="K51" s="573"/>
    </row>
    <row r="52" spans="1:47" ht="15" customHeight="1">
      <c r="A52" s="171" t="s">
        <v>180</v>
      </c>
      <c r="B52" s="172" t="s">
        <v>287</v>
      </c>
      <c r="C52" s="566" t="s">
        <v>288</v>
      </c>
      <c r="D52" s="567"/>
      <c r="E52" s="173" t="s">
        <v>224</v>
      </c>
      <c r="F52" s="173" t="s">
        <v>224</v>
      </c>
      <c r="G52" s="173" t="s">
        <v>224</v>
      </c>
      <c r="H52" s="153">
        <f>SUM(H53:H53)</f>
        <v>0</v>
      </c>
      <c r="I52" s="153">
        <f>SUM(I53:I53)</f>
        <v>0</v>
      </c>
      <c r="J52" s="153">
        <f>SUM(J53:J53)</f>
        <v>0</v>
      </c>
      <c r="K52" s="174" t="s">
        <v>180</v>
      </c>
      <c r="AI52" s="158" t="s">
        <v>340</v>
      </c>
      <c r="AS52" s="153">
        <f>SUM(AJ53:AJ53)</f>
        <v>0</v>
      </c>
      <c r="AT52" s="153">
        <f>SUM(AK53:AK53)</f>
        <v>0</v>
      </c>
      <c r="AU52" s="153">
        <f>SUM(AL53:AL53)</f>
        <v>0</v>
      </c>
    </row>
    <row r="53" spans="1:75" ht="13.5" customHeight="1">
      <c r="A53" s="137" t="s">
        <v>300</v>
      </c>
      <c r="B53" s="138" t="s">
        <v>290</v>
      </c>
      <c r="C53" s="520" t="s">
        <v>291</v>
      </c>
      <c r="D53" s="521"/>
      <c r="E53" s="138" t="s">
        <v>43</v>
      </c>
      <c r="F53" s="175">
        <v>9.1</v>
      </c>
      <c r="G53" s="175">
        <v>0</v>
      </c>
      <c r="H53" s="175">
        <f>F53*AO53</f>
        <v>0</v>
      </c>
      <c r="I53" s="175">
        <f>F53*AP53</f>
        <v>0</v>
      </c>
      <c r="J53" s="175">
        <f>F53*G53</f>
        <v>0</v>
      </c>
      <c r="K53" s="176" t="s">
        <v>262</v>
      </c>
      <c r="Z53" s="175">
        <f>IF(AQ53="5",BJ53,0)</f>
        <v>0</v>
      </c>
      <c r="AB53" s="175">
        <f>IF(AQ53="1",BH53,0)</f>
        <v>0</v>
      </c>
      <c r="AC53" s="175">
        <f>IF(AQ53="1",BI53,0)</f>
        <v>0</v>
      </c>
      <c r="AD53" s="175">
        <f>IF(AQ53="7",BH53,0)</f>
        <v>0</v>
      </c>
      <c r="AE53" s="175">
        <f>IF(AQ53="7",BI53,0)</f>
        <v>0</v>
      </c>
      <c r="AF53" s="175">
        <f>IF(AQ53="2",BH53,0)</f>
        <v>0</v>
      </c>
      <c r="AG53" s="175">
        <f>IF(AQ53="2",BI53,0)</f>
        <v>0</v>
      </c>
      <c r="AH53" s="175">
        <f>IF(AQ53="0",BJ53,0)</f>
        <v>0</v>
      </c>
      <c r="AI53" s="158" t="s">
        <v>340</v>
      </c>
      <c r="AJ53" s="175">
        <f>IF(AN53=0,J53,0)</f>
        <v>0</v>
      </c>
      <c r="AK53" s="175">
        <f>IF(AN53=12,J53,0)</f>
        <v>0</v>
      </c>
      <c r="AL53" s="175">
        <f>IF(AN53=21,J53,0)</f>
        <v>0</v>
      </c>
      <c r="AN53" s="175">
        <v>21</v>
      </c>
      <c r="AO53" s="175">
        <f>G53*0</f>
        <v>0</v>
      </c>
      <c r="AP53" s="175">
        <f>G53*(1-0)</f>
        <v>0</v>
      </c>
      <c r="AQ53" s="177" t="s">
        <v>270</v>
      </c>
      <c r="AV53" s="175">
        <f>AW53+AX53</f>
        <v>0</v>
      </c>
      <c r="AW53" s="175">
        <f>F53*AO53</f>
        <v>0</v>
      </c>
      <c r="AX53" s="175">
        <f>F53*AP53</f>
        <v>0</v>
      </c>
      <c r="AY53" s="177" t="s">
        <v>292</v>
      </c>
      <c r="AZ53" s="177" t="s">
        <v>360</v>
      </c>
      <c r="BA53" s="158" t="s">
        <v>343</v>
      </c>
      <c r="BC53" s="175">
        <f>AW53+AX53</f>
        <v>0</v>
      </c>
      <c r="BD53" s="175">
        <f>G53/(100-BE53)*100</f>
        <v>0</v>
      </c>
      <c r="BE53" s="175">
        <v>0</v>
      </c>
      <c r="BF53" s="175">
        <f>53</f>
        <v>53</v>
      </c>
      <c r="BH53" s="175">
        <f>F53*AO53</f>
        <v>0</v>
      </c>
      <c r="BI53" s="175">
        <f>F53*AP53</f>
        <v>0</v>
      </c>
      <c r="BJ53" s="175">
        <f>F53*G53</f>
        <v>0</v>
      </c>
      <c r="BK53" s="175"/>
      <c r="BL53" s="175"/>
      <c r="BW53" s="175">
        <v>21</v>
      </c>
    </row>
    <row r="54" spans="1:47" ht="15" customHeight="1">
      <c r="A54" s="171" t="s">
        <v>180</v>
      </c>
      <c r="B54" s="172" t="s">
        <v>180</v>
      </c>
      <c r="C54" s="566" t="s">
        <v>203</v>
      </c>
      <c r="D54" s="567"/>
      <c r="E54" s="173" t="s">
        <v>224</v>
      </c>
      <c r="F54" s="173" t="s">
        <v>224</v>
      </c>
      <c r="G54" s="173" t="s">
        <v>224</v>
      </c>
      <c r="H54" s="153">
        <f>SUM(H55:H56)</f>
        <v>0</v>
      </c>
      <c r="I54" s="153">
        <f>SUM(I55:I56)</f>
        <v>0</v>
      </c>
      <c r="J54" s="153">
        <f>SUM(J55:J56)</f>
        <v>0</v>
      </c>
      <c r="K54" s="174" t="s">
        <v>180</v>
      </c>
      <c r="AI54" s="158" t="s">
        <v>340</v>
      </c>
      <c r="AS54" s="153">
        <f>SUM(AJ55:AJ56)</f>
        <v>0</v>
      </c>
      <c r="AT54" s="153">
        <f>SUM(AK55:AK56)</f>
        <v>0</v>
      </c>
      <c r="AU54" s="153">
        <f>SUM(AL55:AL56)</f>
        <v>0</v>
      </c>
    </row>
    <row r="55" spans="1:75" ht="13.5" customHeight="1">
      <c r="A55" s="137" t="s">
        <v>304</v>
      </c>
      <c r="B55" s="138" t="s">
        <v>448</v>
      </c>
      <c r="C55" s="520" t="s">
        <v>449</v>
      </c>
      <c r="D55" s="521"/>
      <c r="E55" s="138" t="s">
        <v>35</v>
      </c>
      <c r="F55" s="175">
        <v>137</v>
      </c>
      <c r="G55" s="175">
        <v>0</v>
      </c>
      <c r="H55" s="175">
        <f>F55*AO55</f>
        <v>0</v>
      </c>
      <c r="I55" s="175">
        <f>F55*AP55</f>
        <v>0</v>
      </c>
      <c r="J55" s="175">
        <f>F55*G55</f>
        <v>0</v>
      </c>
      <c r="K55" s="176" t="s">
        <v>180</v>
      </c>
      <c r="Z55" s="175">
        <f>IF(AQ55="5",BJ55,0)</f>
        <v>0</v>
      </c>
      <c r="AB55" s="175">
        <f>IF(AQ55="1",BH55,0)</f>
        <v>0</v>
      </c>
      <c r="AC55" s="175">
        <f>IF(AQ55="1",BI55,0)</f>
        <v>0</v>
      </c>
      <c r="AD55" s="175">
        <f>IF(AQ55="7",BH55,0)</f>
        <v>0</v>
      </c>
      <c r="AE55" s="175">
        <f>IF(AQ55="7",BI55,0)</f>
        <v>0</v>
      </c>
      <c r="AF55" s="175">
        <f>IF(AQ55="2",BH55,0)</f>
        <v>0</v>
      </c>
      <c r="AG55" s="175">
        <f>IF(AQ55="2",BI55,0)</f>
        <v>0</v>
      </c>
      <c r="AH55" s="175">
        <f>IF(AQ55="0",BJ55,0)</f>
        <v>0</v>
      </c>
      <c r="AI55" s="158" t="s">
        <v>340</v>
      </c>
      <c r="AJ55" s="175">
        <f>IF(AN55=0,J55,0)</f>
        <v>0</v>
      </c>
      <c r="AK55" s="175">
        <f>IF(AN55=12,J55,0)</f>
        <v>0</v>
      </c>
      <c r="AL55" s="175">
        <f>IF(AN55=21,J55,0)</f>
        <v>0</v>
      </c>
      <c r="AN55" s="175">
        <v>21</v>
      </c>
      <c r="AO55" s="175">
        <f>G55*1</f>
        <v>0</v>
      </c>
      <c r="AP55" s="175">
        <f>G55*(1-1)</f>
        <v>0</v>
      </c>
      <c r="AQ55" s="177" t="s">
        <v>301</v>
      </c>
      <c r="AV55" s="175">
        <f>AW55+AX55</f>
        <v>0</v>
      </c>
      <c r="AW55" s="175">
        <f>F55*AO55</f>
        <v>0</v>
      </c>
      <c r="AX55" s="175">
        <f>F55*AP55</f>
        <v>0</v>
      </c>
      <c r="AY55" s="177" t="s">
        <v>302</v>
      </c>
      <c r="AZ55" s="177" t="s">
        <v>363</v>
      </c>
      <c r="BA55" s="158" t="s">
        <v>343</v>
      </c>
      <c r="BC55" s="175">
        <f>AW55+AX55</f>
        <v>0</v>
      </c>
      <c r="BD55" s="175">
        <f>G55/(100-BE55)*100</f>
        <v>0</v>
      </c>
      <c r="BE55" s="175">
        <v>0</v>
      </c>
      <c r="BF55" s="175">
        <f>55</f>
        <v>55</v>
      </c>
      <c r="BH55" s="175">
        <f>F55*AO55</f>
        <v>0</v>
      </c>
      <c r="BI55" s="175">
        <f>F55*AP55</f>
        <v>0</v>
      </c>
      <c r="BJ55" s="175">
        <f>F55*G55</f>
        <v>0</v>
      </c>
      <c r="BK55" s="175"/>
      <c r="BL55" s="175"/>
      <c r="BW55" s="175">
        <v>21</v>
      </c>
    </row>
    <row r="56" spans="1:75" ht="13.5" customHeight="1">
      <c r="A56" s="137" t="s">
        <v>307</v>
      </c>
      <c r="B56" s="138" t="s">
        <v>450</v>
      </c>
      <c r="C56" s="520" t="s">
        <v>451</v>
      </c>
      <c r="D56" s="521"/>
      <c r="E56" s="138" t="s">
        <v>51</v>
      </c>
      <c r="F56" s="175">
        <v>238</v>
      </c>
      <c r="G56" s="175">
        <v>0</v>
      </c>
      <c r="H56" s="175">
        <f>F56*AO56</f>
        <v>0</v>
      </c>
      <c r="I56" s="175">
        <f>F56*AP56</f>
        <v>0</v>
      </c>
      <c r="J56" s="175">
        <f>F56*G56</f>
        <v>0</v>
      </c>
      <c r="K56" s="176" t="s">
        <v>180</v>
      </c>
      <c r="Z56" s="175">
        <f>IF(AQ56="5",BJ56,0)</f>
        <v>0</v>
      </c>
      <c r="AB56" s="175">
        <f>IF(AQ56="1",BH56,0)</f>
        <v>0</v>
      </c>
      <c r="AC56" s="175">
        <f>IF(AQ56="1",BI56,0)</f>
        <v>0</v>
      </c>
      <c r="AD56" s="175">
        <f>IF(AQ56="7",BH56,0)</f>
        <v>0</v>
      </c>
      <c r="AE56" s="175">
        <f>IF(AQ56="7",BI56,0)</f>
        <v>0</v>
      </c>
      <c r="AF56" s="175">
        <f>IF(AQ56="2",BH56,0)</f>
        <v>0</v>
      </c>
      <c r="AG56" s="175">
        <f>IF(AQ56="2",BI56,0)</f>
        <v>0</v>
      </c>
      <c r="AH56" s="175">
        <f>IF(AQ56="0",BJ56,0)</f>
        <v>0</v>
      </c>
      <c r="AI56" s="158" t="s">
        <v>340</v>
      </c>
      <c r="AJ56" s="175">
        <f>IF(AN56=0,J56,0)</f>
        <v>0</v>
      </c>
      <c r="AK56" s="175">
        <f>IF(AN56=12,J56,0)</f>
        <v>0</v>
      </c>
      <c r="AL56" s="175">
        <f>IF(AN56=21,J56,0)</f>
        <v>0</v>
      </c>
      <c r="AN56" s="175">
        <v>21</v>
      </c>
      <c r="AO56" s="175">
        <f>G56*1</f>
        <v>0</v>
      </c>
      <c r="AP56" s="175">
        <f>G56*(1-1)</f>
        <v>0</v>
      </c>
      <c r="AQ56" s="177" t="s">
        <v>301</v>
      </c>
      <c r="AV56" s="175">
        <f>AW56+AX56</f>
        <v>0</v>
      </c>
      <c r="AW56" s="175">
        <f>F56*AO56</f>
        <v>0</v>
      </c>
      <c r="AX56" s="175">
        <f>F56*AP56</f>
        <v>0</v>
      </c>
      <c r="AY56" s="177" t="s">
        <v>302</v>
      </c>
      <c r="AZ56" s="177" t="s">
        <v>363</v>
      </c>
      <c r="BA56" s="158" t="s">
        <v>343</v>
      </c>
      <c r="BC56" s="175">
        <f>AW56+AX56</f>
        <v>0</v>
      </c>
      <c r="BD56" s="175">
        <f>G56/(100-BE56)*100</f>
        <v>0</v>
      </c>
      <c r="BE56" s="175">
        <v>0</v>
      </c>
      <c r="BF56" s="175">
        <f>56</f>
        <v>56</v>
      </c>
      <c r="BH56" s="175">
        <f>F56*AO56</f>
        <v>0</v>
      </c>
      <c r="BI56" s="175">
        <f>F56*AP56</f>
        <v>0</v>
      </c>
      <c r="BJ56" s="175">
        <f>F56*G56</f>
        <v>0</v>
      </c>
      <c r="BK56" s="175"/>
      <c r="BL56" s="175"/>
      <c r="BW56" s="175">
        <v>21</v>
      </c>
    </row>
    <row r="57" spans="1:11" ht="13.5" customHeight="1">
      <c r="A57" s="178"/>
      <c r="B57" s="179" t="s">
        <v>220</v>
      </c>
      <c r="C57" s="571" t="s">
        <v>452</v>
      </c>
      <c r="D57" s="572"/>
      <c r="E57" s="572"/>
      <c r="F57" s="572"/>
      <c r="G57" s="572"/>
      <c r="H57" s="572"/>
      <c r="I57" s="572"/>
      <c r="J57" s="572"/>
      <c r="K57" s="573"/>
    </row>
    <row r="58" spans="1:11" ht="15" customHeight="1">
      <c r="A58" s="166" t="s">
        <v>180</v>
      </c>
      <c r="B58" s="167" t="s">
        <v>180</v>
      </c>
      <c r="C58" s="574" t="s">
        <v>453</v>
      </c>
      <c r="D58" s="575"/>
      <c r="E58" s="168" t="s">
        <v>224</v>
      </c>
      <c r="F58" s="168" t="s">
        <v>224</v>
      </c>
      <c r="G58" s="168" t="s">
        <v>224</v>
      </c>
      <c r="H58" s="169">
        <f>H59+H61+H67+H72+H76+H78+H82+H84</f>
        <v>0</v>
      </c>
      <c r="I58" s="169">
        <f>I59+I61+I67+I72+I76+I78+I82+I84</f>
        <v>0</v>
      </c>
      <c r="J58" s="169">
        <f>J59+J61+J67+J72+J76+J78+J82+J84</f>
        <v>0</v>
      </c>
      <c r="K58" s="170" t="s">
        <v>180</v>
      </c>
    </row>
    <row r="59" spans="1:47" ht="15" customHeight="1">
      <c r="A59" s="171" t="s">
        <v>180</v>
      </c>
      <c r="B59" s="172" t="s">
        <v>257</v>
      </c>
      <c r="C59" s="566" t="s">
        <v>258</v>
      </c>
      <c r="D59" s="567"/>
      <c r="E59" s="173" t="s">
        <v>224</v>
      </c>
      <c r="F59" s="173" t="s">
        <v>224</v>
      </c>
      <c r="G59" s="173" t="s">
        <v>224</v>
      </c>
      <c r="H59" s="153">
        <f>SUM(H60:H60)</f>
        <v>0</v>
      </c>
      <c r="I59" s="153">
        <f>SUM(I60:I60)</f>
        <v>0</v>
      </c>
      <c r="J59" s="153">
        <f>SUM(J60:J60)</f>
        <v>0</v>
      </c>
      <c r="K59" s="174" t="s">
        <v>180</v>
      </c>
      <c r="AI59" s="158" t="s">
        <v>371</v>
      </c>
      <c r="AS59" s="153">
        <f>SUM(AJ60:AJ60)</f>
        <v>0</v>
      </c>
      <c r="AT59" s="153">
        <f>SUM(AK60:AK60)</f>
        <v>0</v>
      </c>
      <c r="AU59" s="153">
        <f>SUM(AL60:AL60)</f>
        <v>0</v>
      </c>
    </row>
    <row r="60" spans="1:75" ht="13.5" customHeight="1">
      <c r="A60" s="137" t="s">
        <v>310</v>
      </c>
      <c r="B60" s="138" t="s">
        <v>454</v>
      </c>
      <c r="C60" s="520" t="s">
        <v>455</v>
      </c>
      <c r="D60" s="521"/>
      <c r="E60" s="138" t="s">
        <v>51</v>
      </c>
      <c r="F60" s="175">
        <v>1</v>
      </c>
      <c r="G60" s="175">
        <v>0</v>
      </c>
      <c r="H60" s="175">
        <f>F60*AO60</f>
        <v>0</v>
      </c>
      <c r="I60" s="175">
        <f>F60*AP60</f>
        <v>0</v>
      </c>
      <c r="J60" s="175">
        <f>F60*G60</f>
        <v>0</v>
      </c>
      <c r="K60" s="176" t="s">
        <v>180</v>
      </c>
      <c r="Z60" s="175">
        <f>IF(AQ60="5",BJ60,0)</f>
        <v>0</v>
      </c>
      <c r="AB60" s="175">
        <f>IF(AQ60="1",BH60,0)</f>
        <v>0</v>
      </c>
      <c r="AC60" s="175">
        <f>IF(AQ60="1",BI60,0)</f>
        <v>0</v>
      </c>
      <c r="AD60" s="175">
        <f>IF(AQ60="7",BH60,0)</f>
        <v>0</v>
      </c>
      <c r="AE60" s="175">
        <f>IF(AQ60="7",BI60,0)</f>
        <v>0</v>
      </c>
      <c r="AF60" s="175">
        <f>IF(AQ60="2",BH60,0)</f>
        <v>0</v>
      </c>
      <c r="AG60" s="175">
        <f>IF(AQ60="2",BI60,0)</f>
        <v>0</v>
      </c>
      <c r="AH60" s="175">
        <f>IF(AQ60="0",BJ60,0)</f>
        <v>0</v>
      </c>
      <c r="AI60" s="158" t="s">
        <v>371</v>
      </c>
      <c r="AJ60" s="175">
        <f>IF(AN60=0,J60,0)</f>
        <v>0</v>
      </c>
      <c r="AK60" s="175">
        <f>IF(AN60=12,J60,0)</f>
        <v>0</v>
      </c>
      <c r="AL60" s="175">
        <f>IF(AN60=21,J60,0)</f>
        <v>0</v>
      </c>
      <c r="AN60" s="175">
        <v>21</v>
      </c>
      <c r="AO60" s="175">
        <f>G60*0</f>
        <v>0</v>
      </c>
      <c r="AP60" s="175">
        <f>G60*(1-0)</f>
        <v>0</v>
      </c>
      <c r="AQ60" s="177" t="s">
        <v>260</v>
      </c>
      <c r="AV60" s="175">
        <f>AW60+AX60</f>
        <v>0</v>
      </c>
      <c r="AW60" s="175">
        <f>F60*AO60</f>
        <v>0</v>
      </c>
      <c r="AX60" s="175">
        <f>F60*AP60</f>
        <v>0</v>
      </c>
      <c r="AY60" s="177" t="s">
        <v>263</v>
      </c>
      <c r="AZ60" s="177" t="s">
        <v>373</v>
      </c>
      <c r="BA60" s="158" t="s">
        <v>374</v>
      </c>
      <c r="BC60" s="175">
        <f>AW60+AX60</f>
        <v>0</v>
      </c>
      <c r="BD60" s="175">
        <f>G60/(100-BE60)*100</f>
        <v>0</v>
      </c>
      <c r="BE60" s="175">
        <v>0</v>
      </c>
      <c r="BF60" s="175">
        <f>60</f>
        <v>60</v>
      </c>
      <c r="BH60" s="175">
        <f>F60*AO60</f>
        <v>0</v>
      </c>
      <c r="BI60" s="175">
        <f>F60*AP60</f>
        <v>0</v>
      </c>
      <c r="BJ60" s="175">
        <f>F60*G60</f>
        <v>0</v>
      </c>
      <c r="BK60" s="175"/>
      <c r="BL60" s="175">
        <v>11</v>
      </c>
      <c r="BW60" s="175">
        <v>21</v>
      </c>
    </row>
    <row r="61" spans="1:47" ht="15" customHeight="1">
      <c r="A61" s="171" t="s">
        <v>180</v>
      </c>
      <c r="B61" s="172" t="s">
        <v>279</v>
      </c>
      <c r="C61" s="566" t="s">
        <v>378</v>
      </c>
      <c r="D61" s="567"/>
      <c r="E61" s="173" t="s">
        <v>224</v>
      </c>
      <c r="F61" s="173" t="s">
        <v>224</v>
      </c>
      <c r="G61" s="173" t="s">
        <v>224</v>
      </c>
      <c r="H61" s="153">
        <f>SUM(H62:H66)</f>
        <v>0</v>
      </c>
      <c r="I61" s="153">
        <f>SUM(I62:I66)</f>
        <v>0</v>
      </c>
      <c r="J61" s="153">
        <f>SUM(J62:J66)</f>
        <v>0</v>
      </c>
      <c r="K61" s="174" t="s">
        <v>180</v>
      </c>
      <c r="AI61" s="158" t="s">
        <v>371</v>
      </c>
      <c r="AS61" s="153">
        <f>SUM(AJ62:AJ66)</f>
        <v>0</v>
      </c>
      <c r="AT61" s="153">
        <f>SUM(AK62:AK66)</f>
        <v>0</v>
      </c>
      <c r="AU61" s="153">
        <f>SUM(AL62:AL66)</f>
        <v>0</v>
      </c>
    </row>
    <row r="62" spans="1:75" ht="13.5" customHeight="1">
      <c r="A62" s="137" t="s">
        <v>312</v>
      </c>
      <c r="B62" s="138" t="s">
        <v>345</v>
      </c>
      <c r="C62" s="520" t="s">
        <v>456</v>
      </c>
      <c r="D62" s="521"/>
      <c r="E62" s="138" t="s">
        <v>297</v>
      </c>
      <c r="F62" s="175">
        <v>346</v>
      </c>
      <c r="G62" s="175">
        <v>0</v>
      </c>
      <c r="H62" s="175">
        <f>F62*AO62</f>
        <v>0</v>
      </c>
      <c r="I62" s="175">
        <f>F62*AP62</f>
        <v>0</v>
      </c>
      <c r="J62" s="175">
        <f>F62*G62</f>
        <v>0</v>
      </c>
      <c r="K62" s="176" t="s">
        <v>318</v>
      </c>
      <c r="Z62" s="175">
        <f>IF(AQ62="5",BJ62,0)</f>
        <v>0</v>
      </c>
      <c r="AB62" s="175">
        <f>IF(AQ62="1",BH62,0)</f>
        <v>0</v>
      </c>
      <c r="AC62" s="175">
        <f>IF(AQ62="1",BI62,0)</f>
        <v>0</v>
      </c>
      <c r="AD62" s="175">
        <f>IF(AQ62="7",BH62,0)</f>
        <v>0</v>
      </c>
      <c r="AE62" s="175">
        <f>IF(AQ62="7",BI62,0)</f>
        <v>0</v>
      </c>
      <c r="AF62" s="175">
        <f>IF(AQ62="2",BH62,0)</f>
        <v>0</v>
      </c>
      <c r="AG62" s="175">
        <f>IF(AQ62="2",BI62,0)</f>
        <v>0</v>
      </c>
      <c r="AH62" s="175">
        <f>IF(AQ62="0",BJ62,0)</f>
        <v>0</v>
      </c>
      <c r="AI62" s="158" t="s">
        <v>371</v>
      </c>
      <c r="AJ62" s="175">
        <f>IF(AN62=0,J62,0)</f>
        <v>0</v>
      </c>
      <c r="AK62" s="175">
        <f>IF(AN62=12,J62,0)</f>
        <v>0</v>
      </c>
      <c r="AL62" s="175">
        <f>IF(AN62=21,J62,0)</f>
        <v>0</v>
      </c>
      <c r="AN62" s="175">
        <v>21</v>
      </c>
      <c r="AO62" s="175">
        <f>G62*0</f>
        <v>0</v>
      </c>
      <c r="AP62" s="175">
        <f>G62*(1-0)</f>
        <v>0</v>
      </c>
      <c r="AQ62" s="177" t="s">
        <v>260</v>
      </c>
      <c r="AV62" s="175">
        <f>AW62+AX62</f>
        <v>0</v>
      </c>
      <c r="AW62" s="175">
        <f>F62*AO62</f>
        <v>0</v>
      </c>
      <c r="AX62" s="175">
        <f>F62*AP62</f>
        <v>0</v>
      </c>
      <c r="AY62" s="177" t="s">
        <v>380</v>
      </c>
      <c r="AZ62" s="177" t="s">
        <v>373</v>
      </c>
      <c r="BA62" s="158" t="s">
        <v>374</v>
      </c>
      <c r="BC62" s="175">
        <f>AW62+AX62</f>
        <v>0</v>
      </c>
      <c r="BD62" s="175">
        <f>G62/(100-BE62)*100</f>
        <v>0</v>
      </c>
      <c r="BE62" s="175">
        <v>0</v>
      </c>
      <c r="BF62" s="175">
        <f>62</f>
        <v>62</v>
      </c>
      <c r="BH62" s="175">
        <f>F62*AO62</f>
        <v>0</v>
      </c>
      <c r="BI62" s="175">
        <f>F62*AP62</f>
        <v>0</v>
      </c>
      <c r="BJ62" s="175">
        <f>F62*G62</f>
        <v>0</v>
      </c>
      <c r="BK62" s="175"/>
      <c r="BL62" s="175">
        <v>12</v>
      </c>
      <c r="BW62" s="175">
        <v>21</v>
      </c>
    </row>
    <row r="63" spans="1:11" ht="13.5" customHeight="1">
      <c r="A63" s="178"/>
      <c r="B63" s="179" t="s">
        <v>220</v>
      </c>
      <c r="C63" s="571" t="s">
        <v>457</v>
      </c>
      <c r="D63" s="572"/>
      <c r="E63" s="572"/>
      <c r="F63" s="572"/>
      <c r="G63" s="572"/>
      <c r="H63" s="572"/>
      <c r="I63" s="572"/>
      <c r="J63" s="572"/>
      <c r="K63" s="573"/>
    </row>
    <row r="64" spans="1:75" ht="13.5" customHeight="1">
      <c r="A64" s="137" t="s">
        <v>313</v>
      </c>
      <c r="B64" s="138" t="s">
        <v>352</v>
      </c>
      <c r="C64" s="520" t="s">
        <v>425</v>
      </c>
      <c r="D64" s="521"/>
      <c r="E64" s="138" t="s">
        <v>261</v>
      </c>
      <c r="F64" s="175">
        <v>1173</v>
      </c>
      <c r="G64" s="175">
        <v>0</v>
      </c>
      <c r="H64" s="175">
        <f>F64*AO64</f>
        <v>0</v>
      </c>
      <c r="I64" s="175">
        <f>F64*AP64</f>
        <v>0</v>
      </c>
      <c r="J64" s="175">
        <f>F64*G64</f>
        <v>0</v>
      </c>
      <c r="K64" s="176" t="s">
        <v>262</v>
      </c>
      <c r="Z64" s="175">
        <f>IF(AQ64="5",BJ64,0)</f>
        <v>0</v>
      </c>
      <c r="AB64" s="175">
        <f>IF(AQ64="1",BH64,0)</f>
        <v>0</v>
      </c>
      <c r="AC64" s="175">
        <f>IF(AQ64="1",BI64,0)</f>
        <v>0</v>
      </c>
      <c r="AD64" s="175">
        <f>IF(AQ64="7",BH64,0)</f>
        <v>0</v>
      </c>
      <c r="AE64" s="175">
        <f>IF(AQ64="7",BI64,0)</f>
        <v>0</v>
      </c>
      <c r="AF64" s="175">
        <f>IF(AQ64="2",BH64,0)</f>
        <v>0</v>
      </c>
      <c r="AG64" s="175">
        <f>IF(AQ64="2",BI64,0)</f>
        <v>0</v>
      </c>
      <c r="AH64" s="175">
        <f>IF(AQ64="0",BJ64,0)</f>
        <v>0</v>
      </c>
      <c r="AI64" s="158" t="s">
        <v>371</v>
      </c>
      <c r="AJ64" s="175">
        <f>IF(AN64=0,J64,0)</f>
        <v>0</v>
      </c>
      <c r="AK64" s="175">
        <f>IF(AN64=12,J64,0)</f>
        <v>0</v>
      </c>
      <c r="AL64" s="175">
        <f>IF(AN64=21,J64,0)</f>
        <v>0</v>
      </c>
      <c r="AN64" s="175">
        <v>21</v>
      </c>
      <c r="AO64" s="175">
        <f>G64*0</f>
        <v>0</v>
      </c>
      <c r="AP64" s="175">
        <f>G64*(1-0)</f>
        <v>0</v>
      </c>
      <c r="AQ64" s="177" t="s">
        <v>260</v>
      </c>
      <c r="AV64" s="175">
        <f>AW64+AX64</f>
        <v>0</v>
      </c>
      <c r="AW64" s="175">
        <f>F64*AO64</f>
        <v>0</v>
      </c>
      <c r="AX64" s="175">
        <f>F64*AP64</f>
        <v>0</v>
      </c>
      <c r="AY64" s="177" t="s">
        <v>380</v>
      </c>
      <c r="AZ64" s="177" t="s">
        <v>373</v>
      </c>
      <c r="BA64" s="158" t="s">
        <v>374</v>
      </c>
      <c r="BC64" s="175">
        <f>AW64+AX64</f>
        <v>0</v>
      </c>
      <c r="BD64" s="175">
        <f>G64/(100-BE64)*100</f>
        <v>0</v>
      </c>
      <c r="BE64" s="175">
        <v>0</v>
      </c>
      <c r="BF64" s="175">
        <f>64</f>
        <v>64</v>
      </c>
      <c r="BH64" s="175">
        <f>F64*AO64</f>
        <v>0</v>
      </c>
      <c r="BI64" s="175">
        <f>F64*AP64</f>
        <v>0</v>
      </c>
      <c r="BJ64" s="175">
        <f>F64*G64</f>
        <v>0</v>
      </c>
      <c r="BK64" s="175"/>
      <c r="BL64" s="175">
        <v>12</v>
      </c>
      <c r="BW64" s="175">
        <v>21</v>
      </c>
    </row>
    <row r="65" spans="1:75" ht="13.5" customHeight="1">
      <c r="A65" s="137" t="s">
        <v>314</v>
      </c>
      <c r="B65" s="138" t="s">
        <v>382</v>
      </c>
      <c r="C65" s="520" t="s">
        <v>458</v>
      </c>
      <c r="D65" s="521"/>
      <c r="E65" s="138" t="s">
        <v>261</v>
      </c>
      <c r="F65" s="175">
        <v>779</v>
      </c>
      <c r="G65" s="175">
        <v>0</v>
      </c>
      <c r="H65" s="175">
        <f>F65*AO65</f>
        <v>0</v>
      </c>
      <c r="I65" s="175">
        <f>F65*AP65</f>
        <v>0</v>
      </c>
      <c r="J65" s="175">
        <f>F65*G65</f>
        <v>0</v>
      </c>
      <c r="K65" s="176" t="s">
        <v>318</v>
      </c>
      <c r="Z65" s="175">
        <f>IF(AQ65="5",BJ65,0)</f>
        <v>0</v>
      </c>
      <c r="AB65" s="175">
        <f>IF(AQ65="1",BH65,0)</f>
        <v>0</v>
      </c>
      <c r="AC65" s="175">
        <f>IF(AQ65="1",BI65,0)</f>
        <v>0</v>
      </c>
      <c r="AD65" s="175">
        <f>IF(AQ65="7",BH65,0)</f>
        <v>0</v>
      </c>
      <c r="AE65" s="175">
        <f>IF(AQ65="7",BI65,0)</f>
        <v>0</v>
      </c>
      <c r="AF65" s="175">
        <f>IF(AQ65="2",BH65,0)</f>
        <v>0</v>
      </c>
      <c r="AG65" s="175">
        <f>IF(AQ65="2",BI65,0)</f>
        <v>0</v>
      </c>
      <c r="AH65" s="175">
        <f>IF(AQ65="0",BJ65,0)</f>
        <v>0</v>
      </c>
      <c r="AI65" s="158" t="s">
        <v>371</v>
      </c>
      <c r="AJ65" s="175">
        <f>IF(AN65=0,J65,0)</f>
        <v>0</v>
      </c>
      <c r="AK65" s="175">
        <f>IF(AN65=12,J65,0)</f>
        <v>0</v>
      </c>
      <c r="AL65" s="175">
        <f>IF(AN65=21,J65,0)</f>
        <v>0</v>
      </c>
      <c r="AN65" s="175">
        <v>21</v>
      </c>
      <c r="AO65" s="175">
        <f>G65*0</f>
        <v>0</v>
      </c>
      <c r="AP65" s="175">
        <f>G65*(1-0)</f>
        <v>0</v>
      </c>
      <c r="AQ65" s="177" t="s">
        <v>260</v>
      </c>
      <c r="AV65" s="175">
        <f>AW65+AX65</f>
        <v>0</v>
      </c>
      <c r="AW65" s="175">
        <f>F65*AO65</f>
        <v>0</v>
      </c>
      <c r="AX65" s="175">
        <f>F65*AP65</f>
        <v>0</v>
      </c>
      <c r="AY65" s="177" t="s">
        <v>380</v>
      </c>
      <c r="AZ65" s="177" t="s">
        <v>373</v>
      </c>
      <c r="BA65" s="158" t="s">
        <v>374</v>
      </c>
      <c r="BC65" s="175">
        <f>AW65+AX65</f>
        <v>0</v>
      </c>
      <c r="BD65" s="175">
        <f>G65/(100-BE65)*100</f>
        <v>0</v>
      </c>
      <c r="BE65" s="175">
        <v>0</v>
      </c>
      <c r="BF65" s="175">
        <f>65</f>
        <v>65</v>
      </c>
      <c r="BH65" s="175">
        <f>F65*AO65</f>
        <v>0</v>
      </c>
      <c r="BI65" s="175">
        <f>F65*AP65</f>
        <v>0</v>
      </c>
      <c r="BJ65" s="175">
        <f>F65*G65</f>
        <v>0</v>
      </c>
      <c r="BK65" s="175"/>
      <c r="BL65" s="175">
        <v>12</v>
      </c>
      <c r="BW65" s="175">
        <v>21</v>
      </c>
    </row>
    <row r="66" spans="1:75" ht="13.5" customHeight="1">
      <c r="A66" s="137" t="s">
        <v>315</v>
      </c>
      <c r="B66" s="138" t="s">
        <v>385</v>
      </c>
      <c r="C66" s="520" t="s">
        <v>386</v>
      </c>
      <c r="D66" s="521"/>
      <c r="E66" s="138" t="s">
        <v>261</v>
      </c>
      <c r="F66" s="175">
        <v>779</v>
      </c>
      <c r="G66" s="175">
        <v>0</v>
      </c>
      <c r="H66" s="175">
        <f>F66*AO66</f>
        <v>0</v>
      </c>
      <c r="I66" s="175">
        <f>F66*AP66</f>
        <v>0</v>
      </c>
      <c r="J66" s="175">
        <f>F66*G66</f>
        <v>0</v>
      </c>
      <c r="K66" s="176" t="s">
        <v>262</v>
      </c>
      <c r="Z66" s="175">
        <f>IF(AQ66="5",BJ66,0)</f>
        <v>0</v>
      </c>
      <c r="AB66" s="175">
        <f>IF(AQ66="1",BH66,0)</f>
        <v>0</v>
      </c>
      <c r="AC66" s="175">
        <f>IF(AQ66="1",BI66,0)</f>
        <v>0</v>
      </c>
      <c r="AD66" s="175">
        <f>IF(AQ66="7",BH66,0)</f>
        <v>0</v>
      </c>
      <c r="AE66" s="175">
        <f>IF(AQ66="7",BI66,0)</f>
        <v>0</v>
      </c>
      <c r="AF66" s="175">
        <f>IF(AQ66="2",BH66,0)</f>
        <v>0</v>
      </c>
      <c r="AG66" s="175">
        <f>IF(AQ66="2",BI66,0)</f>
        <v>0</v>
      </c>
      <c r="AH66" s="175">
        <f>IF(AQ66="0",BJ66,0)</f>
        <v>0</v>
      </c>
      <c r="AI66" s="158" t="s">
        <v>371</v>
      </c>
      <c r="AJ66" s="175">
        <f>IF(AN66=0,J66,0)</f>
        <v>0</v>
      </c>
      <c r="AK66" s="175">
        <f>IF(AN66=12,J66,0)</f>
        <v>0</v>
      </c>
      <c r="AL66" s="175">
        <f>IF(AN66=21,J66,0)</f>
        <v>0</v>
      </c>
      <c r="AN66" s="175">
        <v>21</v>
      </c>
      <c r="AO66" s="175">
        <f>G66*0</f>
        <v>0</v>
      </c>
      <c r="AP66" s="175">
        <f>G66*(1-0)</f>
        <v>0</v>
      </c>
      <c r="AQ66" s="177" t="s">
        <v>260</v>
      </c>
      <c r="AV66" s="175">
        <f>AW66+AX66</f>
        <v>0</v>
      </c>
      <c r="AW66" s="175">
        <f>F66*AO66</f>
        <v>0</v>
      </c>
      <c r="AX66" s="175">
        <f>F66*AP66</f>
        <v>0</v>
      </c>
      <c r="AY66" s="177" t="s">
        <v>380</v>
      </c>
      <c r="AZ66" s="177" t="s">
        <v>373</v>
      </c>
      <c r="BA66" s="158" t="s">
        <v>374</v>
      </c>
      <c r="BC66" s="175">
        <f>AW66+AX66</f>
        <v>0</v>
      </c>
      <c r="BD66" s="175">
        <f>G66/(100-BE66)*100</f>
        <v>0</v>
      </c>
      <c r="BE66" s="175">
        <v>0</v>
      </c>
      <c r="BF66" s="175">
        <f>66</f>
        <v>66</v>
      </c>
      <c r="BH66" s="175">
        <f>F66*AO66</f>
        <v>0</v>
      </c>
      <c r="BI66" s="175">
        <f>F66*AP66</f>
        <v>0</v>
      </c>
      <c r="BJ66" s="175">
        <f>F66*G66</f>
        <v>0</v>
      </c>
      <c r="BK66" s="175"/>
      <c r="BL66" s="175">
        <v>12</v>
      </c>
      <c r="BW66" s="175">
        <v>21</v>
      </c>
    </row>
    <row r="67" spans="1:47" ht="15" customHeight="1">
      <c r="A67" s="171" t="s">
        <v>180</v>
      </c>
      <c r="B67" s="172" t="s">
        <v>275</v>
      </c>
      <c r="C67" s="566" t="s">
        <v>276</v>
      </c>
      <c r="D67" s="567"/>
      <c r="E67" s="173" t="s">
        <v>224</v>
      </c>
      <c r="F67" s="173" t="s">
        <v>224</v>
      </c>
      <c r="G67" s="173" t="s">
        <v>224</v>
      </c>
      <c r="H67" s="153">
        <f>SUM(H68:H71)</f>
        <v>0</v>
      </c>
      <c r="I67" s="153">
        <f>SUM(I68:I71)</f>
        <v>0</v>
      </c>
      <c r="J67" s="153">
        <f>SUM(J68:J71)</f>
        <v>0</v>
      </c>
      <c r="K67" s="174" t="s">
        <v>180</v>
      </c>
      <c r="AI67" s="158" t="s">
        <v>371</v>
      </c>
      <c r="AS67" s="153">
        <f>SUM(AJ68:AJ71)</f>
        <v>0</v>
      </c>
      <c r="AT67" s="153">
        <f>SUM(AK68:AK71)</f>
        <v>0</v>
      </c>
      <c r="AU67" s="153">
        <f>SUM(AL68:AL71)</f>
        <v>0</v>
      </c>
    </row>
    <row r="68" spans="1:75" ht="27" customHeight="1">
      <c r="A68" s="137" t="s">
        <v>316</v>
      </c>
      <c r="B68" s="138" t="s">
        <v>459</v>
      </c>
      <c r="C68" s="520" t="s">
        <v>460</v>
      </c>
      <c r="D68" s="521"/>
      <c r="E68" s="138" t="s">
        <v>261</v>
      </c>
      <c r="F68" s="175">
        <v>278</v>
      </c>
      <c r="G68" s="175">
        <v>0</v>
      </c>
      <c r="H68" s="175">
        <f>F68*AO68</f>
        <v>0</v>
      </c>
      <c r="I68" s="175">
        <f>F68*AP68</f>
        <v>0</v>
      </c>
      <c r="J68" s="175">
        <f>F68*G68</f>
        <v>0</v>
      </c>
      <c r="K68" s="176" t="s">
        <v>318</v>
      </c>
      <c r="Z68" s="175">
        <f>IF(AQ68="5",BJ68,0)</f>
        <v>0</v>
      </c>
      <c r="AB68" s="175">
        <f>IF(AQ68="1",BH68,0)</f>
        <v>0</v>
      </c>
      <c r="AC68" s="175">
        <f>IF(AQ68="1",BI68,0)</f>
        <v>0</v>
      </c>
      <c r="AD68" s="175">
        <f>IF(AQ68="7",BH68,0)</f>
        <v>0</v>
      </c>
      <c r="AE68" s="175">
        <f>IF(AQ68="7",BI68,0)</f>
        <v>0</v>
      </c>
      <c r="AF68" s="175">
        <f>IF(AQ68="2",BH68,0)</f>
        <v>0</v>
      </c>
      <c r="AG68" s="175">
        <f>IF(AQ68="2",BI68,0)</f>
        <v>0</v>
      </c>
      <c r="AH68" s="175">
        <f>IF(AQ68="0",BJ68,0)</f>
        <v>0</v>
      </c>
      <c r="AI68" s="158" t="s">
        <v>371</v>
      </c>
      <c r="AJ68" s="175">
        <f>IF(AN68=0,J68,0)</f>
        <v>0</v>
      </c>
      <c r="AK68" s="175">
        <f>IF(AN68=12,J68,0)</f>
        <v>0</v>
      </c>
      <c r="AL68" s="175">
        <f>IF(AN68=21,J68,0)</f>
        <v>0</v>
      </c>
      <c r="AN68" s="175">
        <v>21</v>
      </c>
      <c r="AO68" s="175">
        <f>G68*0</f>
        <v>0</v>
      </c>
      <c r="AP68" s="175">
        <f>G68*(1-0)</f>
        <v>0</v>
      </c>
      <c r="AQ68" s="177" t="s">
        <v>260</v>
      </c>
      <c r="AV68" s="175">
        <f>AW68+AX68</f>
        <v>0</v>
      </c>
      <c r="AW68" s="175">
        <f>F68*AO68</f>
        <v>0</v>
      </c>
      <c r="AX68" s="175">
        <f>F68*AP68</f>
        <v>0</v>
      </c>
      <c r="AY68" s="177" t="s">
        <v>278</v>
      </c>
      <c r="AZ68" s="177" t="s">
        <v>373</v>
      </c>
      <c r="BA68" s="158" t="s">
        <v>374</v>
      </c>
      <c r="BC68" s="175">
        <f>AW68+AX68</f>
        <v>0</v>
      </c>
      <c r="BD68" s="175">
        <f>G68/(100-BE68)*100</f>
        <v>0</v>
      </c>
      <c r="BE68" s="175">
        <v>0</v>
      </c>
      <c r="BF68" s="175">
        <f>68</f>
        <v>68</v>
      </c>
      <c r="BH68" s="175">
        <f>F68*AO68</f>
        <v>0</v>
      </c>
      <c r="BI68" s="175">
        <f>F68*AP68</f>
        <v>0</v>
      </c>
      <c r="BJ68" s="175">
        <f>F68*G68</f>
        <v>0</v>
      </c>
      <c r="BK68" s="175"/>
      <c r="BL68" s="175">
        <v>16</v>
      </c>
      <c r="BW68" s="175">
        <v>21</v>
      </c>
    </row>
    <row r="69" spans="1:75" ht="13.5" customHeight="1">
      <c r="A69" s="137" t="s">
        <v>319</v>
      </c>
      <c r="B69" s="138" t="s">
        <v>429</v>
      </c>
      <c r="C69" s="520" t="s">
        <v>430</v>
      </c>
      <c r="D69" s="521"/>
      <c r="E69" s="138" t="s">
        <v>297</v>
      </c>
      <c r="F69" s="175">
        <v>346</v>
      </c>
      <c r="G69" s="175">
        <v>0</v>
      </c>
      <c r="H69" s="175">
        <f>F69*AO69</f>
        <v>0</v>
      </c>
      <c r="I69" s="175">
        <f>F69*AP69</f>
        <v>0</v>
      </c>
      <c r="J69" s="175">
        <f>F69*G69</f>
        <v>0</v>
      </c>
      <c r="K69" s="176" t="s">
        <v>262</v>
      </c>
      <c r="Z69" s="175">
        <f>IF(AQ69="5",BJ69,0)</f>
        <v>0</v>
      </c>
      <c r="AB69" s="175">
        <f>IF(AQ69="1",BH69,0)</f>
        <v>0</v>
      </c>
      <c r="AC69" s="175">
        <f>IF(AQ69="1",BI69,0)</f>
        <v>0</v>
      </c>
      <c r="AD69" s="175">
        <f>IF(AQ69="7",BH69,0)</f>
        <v>0</v>
      </c>
      <c r="AE69" s="175">
        <f>IF(AQ69="7",BI69,0)</f>
        <v>0</v>
      </c>
      <c r="AF69" s="175">
        <f>IF(AQ69="2",BH69,0)</f>
        <v>0</v>
      </c>
      <c r="AG69" s="175">
        <f>IF(AQ69="2",BI69,0)</f>
        <v>0</v>
      </c>
      <c r="AH69" s="175">
        <f>IF(AQ69="0",BJ69,0)</f>
        <v>0</v>
      </c>
      <c r="AI69" s="158" t="s">
        <v>371</v>
      </c>
      <c r="AJ69" s="175">
        <f>IF(AN69=0,J69,0)</f>
        <v>0</v>
      </c>
      <c r="AK69" s="175">
        <f>IF(AN69=12,J69,0)</f>
        <v>0</v>
      </c>
      <c r="AL69" s="175">
        <f>IF(AN69=21,J69,0)</f>
        <v>0</v>
      </c>
      <c r="AN69" s="175">
        <v>21</v>
      </c>
      <c r="AO69" s="175">
        <f>G69*0</f>
        <v>0</v>
      </c>
      <c r="AP69" s="175">
        <f>G69*(1-0)</f>
        <v>0</v>
      </c>
      <c r="AQ69" s="177" t="s">
        <v>260</v>
      </c>
      <c r="AV69" s="175">
        <f>AW69+AX69</f>
        <v>0</v>
      </c>
      <c r="AW69" s="175">
        <f>F69*AO69</f>
        <v>0</v>
      </c>
      <c r="AX69" s="175">
        <f>F69*AP69</f>
        <v>0</v>
      </c>
      <c r="AY69" s="177" t="s">
        <v>278</v>
      </c>
      <c r="AZ69" s="177" t="s">
        <v>373</v>
      </c>
      <c r="BA69" s="158" t="s">
        <v>374</v>
      </c>
      <c r="BC69" s="175">
        <f>AW69+AX69</f>
        <v>0</v>
      </c>
      <c r="BD69" s="175">
        <f>G69/(100-BE69)*100</f>
        <v>0</v>
      </c>
      <c r="BE69" s="175">
        <v>0</v>
      </c>
      <c r="BF69" s="175">
        <f>69</f>
        <v>69</v>
      </c>
      <c r="BH69" s="175">
        <f>F69*AO69</f>
        <v>0</v>
      </c>
      <c r="BI69" s="175">
        <f>F69*AP69</f>
        <v>0</v>
      </c>
      <c r="BJ69" s="175">
        <f>F69*G69</f>
        <v>0</v>
      </c>
      <c r="BK69" s="175"/>
      <c r="BL69" s="175">
        <v>16</v>
      </c>
      <c r="BW69" s="175">
        <v>21</v>
      </c>
    </row>
    <row r="70" spans="1:75" ht="13.5" customHeight="1">
      <c r="A70" s="137" t="s">
        <v>320</v>
      </c>
      <c r="B70" s="138" t="s">
        <v>431</v>
      </c>
      <c r="C70" s="520" t="s">
        <v>461</v>
      </c>
      <c r="D70" s="521"/>
      <c r="E70" s="138" t="s">
        <v>297</v>
      </c>
      <c r="F70" s="175">
        <v>422</v>
      </c>
      <c r="G70" s="175">
        <v>0</v>
      </c>
      <c r="H70" s="175">
        <f>F70*AO70</f>
        <v>0</v>
      </c>
      <c r="I70" s="175">
        <f>F70*AP70</f>
        <v>0</v>
      </c>
      <c r="J70" s="175">
        <f>F70*G70</f>
        <v>0</v>
      </c>
      <c r="K70" s="176" t="s">
        <v>262</v>
      </c>
      <c r="Z70" s="175">
        <f>IF(AQ70="5",BJ70,0)</f>
        <v>0</v>
      </c>
      <c r="AB70" s="175">
        <f>IF(AQ70="1",BH70,0)</f>
        <v>0</v>
      </c>
      <c r="AC70" s="175">
        <f>IF(AQ70="1",BI70,0)</f>
        <v>0</v>
      </c>
      <c r="AD70" s="175">
        <f>IF(AQ70="7",BH70,0)</f>
        <v>0</v>
      </c>
      <c r="AE70" s="175">
        <f>IF(AQ70="7",BI70,0)</f>
        <v>0</v>
      </c>
      <c r="AF70" s="175">
        <f>IF(AQ70="2",BH70,0)</f>
        <v>0</v>
      </c>
      <c r="AG70" s="175">
        <f>IF(AQ70="2",BI70,0)</f>
        <v>0</v>
      </c>
      <c r="AH70" s="175">
        <f>IF(AQ70="0",BJ70,0)</f>
        <v>0</v>
      </c>
      <c r="AI70" s="158" t="s">
        <v>371</v>
      </c>
      <c r="AJ70" s="175">
        <f>IF(AN70=0,J70,0)</f>
        <v>0</v>
      </c>
      <c r="AK70" s="175">
        <f>IF(AN70=12,J70,0)</f>
        <v>0</v>
      </c>
      <c r="AL70" s="175">
        <f>IF(AN70=21,J70,0)</f>
        <v>0</v>
      </c>
      <c r="AN70" s="175">
        <v>21</v>
      </c>
      <c r="AO70" s="175">
        <f>G70*0</f>
        <v>0</v>
      </c>
      <c r="AP70" s="175">
        <f>G70*(1-0)</f>
        <v>0</v>
      </c>
      <c r="AQ70" s="177" t="s">
        <v>260</v>
      </c>
      <c r="AV70" s="175">
        <f>AW70+AX70</f>
        <v>0</v>
      </c>
      <c r="AW70" s="175">
        <f>F70*AO70</f>
        <v>0</v>
      </c>
      <c r="AX70" s="175">
        <f>F70*AP70</f>
        <v>0</v>
      </c>
      <c r="AY70" s="177" t="s">
        <v>278</v>
      </c>
      <c r="AZ70" s="177" t="s">
        <v>373</v>
      </c>
      <c r="BA70" s="158" t="s">
        <v>374</v>
      </c>
      <c r="BC70" s="175">
        <f>AW70+AX70</f>
        <v>0</v>
      </c>
      <c r="BD70" s="175">
        <f>G70/(100-BE70)*100</f>
        <v>0</v>
      </c>
      <c r="BE70" s="175">
        <v>0</v>
      </c>
      <c r="BF70" s="175">
        <f>70</f>
        <v>70</v>
      </c>
      <c r="BH70" s="175">
        <f>F70*AO70</f>
        <v>0</v>
      </c>
      <c r="BI70" s="175">
        <f>F70*AP70</f>
        <v>0</v>
      </c>
      <c r="BJ70" s="175">
        <f>F70*G70</f>
        <v>0</v>
      </c>
      <c r="BK70" s="175"/>
      <c r="BL70" s="175">
        <v>16</v>
      </c>
      <c r="BW70" s="175">
        <v>21</v>
      </c>
    </row>
    <row r="71" spans="1:75" ht="13.5" customHeight="1">
      <c r="A71" s="137" t="s">
        <v>321</v>
      </c>
      <c r="B71" s="138" t="s">
        <v>433</v>
      </c>
      <c r="C71" s="520" t="s">
        <v>434</v>
      </c>
      <c r="D71" s="521"/>
      <c r="E71" s="138" t="s">
        <v>297</v>
      </c>
      <c r="F71" s="175">
        <v>422</v>
      </c>
      <c r="G71" s="175">
        <v>0</v>
      </c>
      <c r="H71" s="175">
        <f>F71*AO71</f>
        <v>0</v>
      </c>
      <c r="I71" s="175">
        <f>F71*AP71</f>
        <v>0</v>
      </c>
      <c r="J71" s="175">
        <f>F71*G71</f>
        <v>0</v>
      </c>
      <c r="K71" s="176" t="s">
        <v>262</v>
      </c>
      <c r="Z71" s="175">
        <f>IF(AQ71="5",BJ71,0)</f>
        <v>0</v>
      </c>
      <c r="AB71" s="175">
        <f>IF(AQ71="1",BH71,0)</f>
        <v>0</v>
      </c>
      <c r="AC71" s="175">
        <f>IF(AQ71="1",BI71,0)</f>
        <v>0</v>
      </c>
      <c r="AD71" s="175">
        <f>IF(AQ71="7",BH71,0)</f>
        <v>0</v>
      </c>
      <c r="AE71" s="175">
        <f>IF(AQ71="7",BI71,0)</f>
        <v>0</v>
      </c>
      <c r="AF71" s="175">
        <f>IF(AQ71="2",BH71,0)</f>
        <v>0</v>
      </c>
      <c r="AG71" s="175">
        <f>IF(AQ71="2",BI71,0)</f>
        <v>0</v>
      </c>
      <c r="AH71" s="175">
        <f>IF(AQ71="0",BJ71,0)</f>
        <v>0</v>
      </c>
      <c r="AI71" s="158" t="s">
        <v>371</v>
      </c>
      <c r="AJ71" s="175">
        <f>IF(AN71=0,J71,0)</f>
        <v>0</v>
      </c>
      <c r="AK71" s="175">
        <f>IF(AN71=12,J71,0)</f>
        <v>0</v>
      </c>
      <c r="AL71" s="175">
        <f>IF(AN71=21,J71,0)</f>
        <v>0</v>
      </c>
      <c r="AN71" s="175">
        <v>21</v>
      </c>
      <c r="AO71" s="175">
        <f>G71*0</f>
        <v>0</v>
      </c>
      <c r="AP71" s="175">
        <f>G71*(1-0)</f>
        <v>0</v>
      </c>
      <c r="AQ71" s="177" t="s">
        <v>260</v>
      </c>
      <c r="AV71" s="175">
        <f>AW71+AX71</f>
        <v>0</v>
      </c>
      <c r="AW71" s="175">
        <f>F71*AO71</f>
        <v>0</v>
      </c>
      <c r="AX71" s="175">
        <f>F71*AP71</f>
        <v>0</v>
      </c>
      <c r="AY71" s="177" t="s">
        <v>278</v>
      </c>
      <c r="AZ71" s="177" t="s">
        <v>373</v>
      </c>
      <c r="BA71" s="158" t="s">
        <v>374</v>
      </c>
      <c r="BC71" s="175">
        <f>AW71+AX71</f>
        <v>0</v>
      </c>
      <c r="BD71" s="175">
        <f>G71/(100-BE71)*100</f>
        <v>0</v>
      </c>
      <c r="BE71" s="175">
        <v>0</v>
      </c>
      <c r="BF71" s="175">
        <f>71</f>
        <v>71</v>
      </c>
      <c r="BH71" s="175">
        <f>F71*AO71</f>
        <v>0</v>
      </c>
      <c r="BI71" s="175">
        <f>F71*AP71</f>
        <v>0</v>
      </c>
      <c r="BJ71" s="175">
        <f>F71*G71</f>
        <v>0</v>
      </c>
      <c r="BK71" s="175"/>
      <c r="BL71" s="175">
        <v>16</v>
      </c>
      <c r="BW71" s="175">
        <v>21</v>
      </c>
    </row>
    <row r="72" spans="1:47" ht="15" customHeight="1">
      <c r="A72" s="171" t="s">
        <v>180</v>
      </c>
      <c r="B72" s="172" t="s">
        <v>283</v>
      </c>
      <c r="C72" s="566" t="s">
        <v>347</v>
      </c>
      <c r="D72" s="567"/>
      <c r="E72" s="173" t="s">
        <v>224</v>
      </c>
      <c r="F72" s="173" t="s">
        <v>224</v>
      </c>
      <c r="G72" s="173" t="s">
        <v>224</v>
      </c>
      <c r="H72" s="153">
        <f>SUM(H73:H74)</f>
        <v>0</v>
      </c>
      <c r="I72" s="153">
        <f>SUM(I73:I74)</f>
        <v>0</v>
      </c>
      <c r="J72" s="153">
        <f>SUM(J73:J74)</f>
        <v>0</v>
      </c>
      <c r="K72" s="174" t="s">
        <v>180</v>
      </c>
      <c r="AI72" s="158" t="s">
        <v>371</v>
      </c>
      <c r="AS72" s="153">
        <f>SUM(AJ73:AJ74)</f>
        <v>0</v>
      </c>
      <c r="AT72" s="153">
        <f>SUM(AK73:AK74)</f>
        <v>0</v>
      </c>
      <c r="AU72" s="153">
        <f>SUM(AL73:AL74)</f>
        <v>0</v>
      </c>
    </row>
    <row r="73" spans="1:75" ht="27" customHeight="1">
      <c r="A73" s="137" t="s">
        <v>323</v>
      </c>
      <c r="B73" s="138" t="s">
        <v>462</v>
      </c>
      <c r="C73" s="520" t="s">
        <v>463</v>
      </c>
      <c r="D73" s="521"/>
      <c r="E73" s="138" t="s">
        <v>297</v>
      </c>
      <c r="F73" s="175">
        <v>37</v>
      </c>
      <c r="G73" s="175">
        <v>0</v>
      </c>
      <c r="H73" s="175">
        <f>F73*AO73</f>
        <v>0</v>
      </c>
      <c r="I73" s="175">
        <f>F73*AP73</f>
        <v>0</v>
      </c>
      <c r="J73" s="175">
        <f>F73*G73</f>
        <v>0</v>
      </c>
      <c r="K73" s="176" t="s">
        <v>318</v>
      </c>
      <c r="Z73" s="175">
        <f>IF(AQ73="5",BJ73,0)</f>
        <v>0</v>
      </c>
      <c r="AB73" s="175">
        <f>IF(AQ73="1",BH73,0)</f>
        <v>0</v>
      </c>
      <c r="AC73" s="175">
        <f>IF(AQ73="1",BI73,0)</f>
        <v>0</v>
      </c>
      <c r="AD73" s="175">
        <f>IF(AQ73="7",BH73,0)</f>
        <v>0</v>
      </c>
      <c r="AE73" s="175">
        <f>IF(AQ73="7",BI73,0)</f>
        <v>0</v>
      </c>
      <c r="AF73" s="175">
        <f>IF(AQ73="2",BH73,0)</f>
        <v>0</v>
      </c>
      <c r="AG73" s="175">
        <f>IF(AQ73="2",BI73,0)</f>
        <v>0</v>
      </c>
      <c r="AH73" s="175">
        <f>IF(AQ73="0",BJ73,0)</f>
        <v>0</v>
      </c>
      <c r="AI73" s="158" t="s">
        <v>371</v>
      </c>
      <c r="AJ73" s="175">
        <f>IF(AN73=0,J73,0)</f>
        <v>0</v>
      </c>
      <c r="AK73" s="175">
        <f>IF(AN73=12,J73,0)</f>
        <v>0</v>
      </c>
      <c r="AL73" s="175">
        <f>IF(AN73=21,J73,0)</f>
        <v>0</v>
      </c>
      <c r="AN73" s="175">
        <v>21</v>
      </c>
      <c r="AO73" s="175">
        <f>G73*0</f>
        <v>0</v>
      </c>
      <c r="AP73" s="175">
        <f>G73*(1-0)</f>
        <v>0</v>
      </c>
      <c r="AQ73" s="177" t="s">
        <v>260</v>
      </c>
      <c r="AV73" s="175">
        <f>AW73+AX73</f>
        <v>0</v>
      </c>
      <c r="AW73" s="175">
        <f>F73*AO73</f>
        <v>0</v>
      </c>
      <c r="AX73" s="175">
        <f>F73*AP73</f>
        <v>0</v>
      </c>
      <c r="AY73" s="177" t="s">
        <v>350</v>
      </c>
      <c r="AZ73" s="177" t="s">
        <v>373</v>
      </c>
      <c r="BA73" s="158" t="s">
        <v>374</v>
      </c>
      <c r="BC73" s="175">
        <f>AW73+AX73</f>
        <v>0</v>
      </c>
      <c r="BD73" s="175">
        <f>G73/(100-BE73)*100</f>
        <v>0</v>
      </c>
      <c r="BE73" s="175">
        <v>0</v>
      </c>
      <c r="BF73" s="175">
        <f>73</f>
        <v>73</v>
      </c>
      <c r="BH73" s="175">
        <f>F73*AO73</f>
        <v>0</v>
      </c>
      <c r="BI73" s="175">
        <f>F73*AP73</f>
        <v>0</v>
      </c>
      <c r="BJ73" s="175">
        <f>F73*G73</f>
        <v>0</v>
      </c>
      <c r="BK73" s="175"/>
      <c r="BL73" s="175">
        <v>17</v>
      </c>
      <c r="BW73" s="175">
        <v>21</v>
      </c>
    </row>
    <row r="74" spans="1:75" ht="13.5" customHeight="1">
      <c r="A74" s="137" t="s">
        <v>324</v>
      </c>
      <c r="B74" s="138" t="s">
        <v>349</v>
      </c>
      <c r="C74" s="520" t="s">
        <v>464</v>
      </c>
      <c r="D74" s="521"/>
      <c r="E74" s="138" t="s">
        <v>297</v>
      </c>
      <c r="F74" s="175">
        <v>382</v>
      </c>
      <c r="G74" s="175">
        <v>0</v>
      </c>
      <c r="H74" s="175">
        <f>F74*AO74</f>
        <v>0</v>
      </c>
      <c r="I74" s="175">
        <f>F74*AP74</f>
        <v>0</v>
      </c>
      <c r="J74" s="175">
        <f>F74*G74</f>
        <v>0</v>
      </c>
      <c r="K74" s="176" t="s">
        <v>318</v>
      </c>
      <c r="Z74" s="175">
        <f>IF(AQ74="5",BJ74,0)</f>
        <v>0</v>
      </c>
      <c r="AB74" s="175">
        <f>IF(AQ74="1",BH74,0)</f>
        <v>0</v>
      </c>
      <c r="AC74" s="175">
        <f>IF(AQ74="1",BI74,0)</f>
        <v>0</v>
      </c>
      <c r="AD74" s="175">
        <f>IF(AQ74="7",BH74,0)</f>
        <v>0</v>
      </c>
      <c r="AE74" s="175">
        <f>IF(AQ74="7",BI74,0)</f>
        <v>0</v>
      </c>
      <c r="AF74" s="175">
        <f>IF(AQ74="2",BH74,0)</f>
        <v>0</v>
      </c>
      <c r="AG74" s="175">
        <f>IF(AQ74="2",BI74,0)</f>
        <v>0</v>
      </c>
      <c r="AH74" s="175">
        <f>IF(AQ74="0",BJ74,0)</f>
        <v>0</v>
      </c>
      <c r="AI74" s="158" t="s">
        <v>371</v>
      </c>
      <c r="AJ74" s="175">
        <f>IF(AN74=0,J74,0)</f>
        <v>0</v>
      </c>
      <c r="AK74" s="175">
        <f>IF(AN74=12,J74,0)</f>
        <v>0</v>
      </c>
      <c r="AL74" s="175">
        <f>IF(AN74=21,J74,0)</f>
        <v>0</v>
      </c>
      <c r="AN74" s="175">
        <v>21</v>
      </c>
      <c r="AO74" s="175">
        <f>G74*0</f>
        <v>0</v>
      </c>
      <c r="AP74" s="175">
        <f>G74*(1-0)</f>
        <v>0</v>
      </c>
      <c r="AQ74" s="177" t="s">
        <v>260</v>
      </c>
      <c r="AV74" s="175">
        <f>AW74+AX74</f>
        <v>0</v>
      </c>
      <c r="AW74" s="175">
        <f>F74*AO74</f>
        <v>0</v>
      </c>
      <c r="AX74" s="175">
        <f>F74*AP74</f>
        <v>0</v>
      </c>
      <c r="AY74" s="177" t="s">
        <v>350</v>
      </c>
      <c r="AZ74" s="177" t="s">
        <v>373</v>
      </c>
      <c r="BA74" s="158" t="s">
        <v>374</v>
      </c>
      <c r="BC74" s="175">
        <f>AW74+AX74</f>
        <v>0</v>
      </c>
      <c r="BD74" s="175">
        <f>G74/(100-BE74)*100</f>
        <v>0</v>
      </c>
      <c r="BE74" s="175">
        <v>0</v>
      </c>
      <c r="BF74" s="175">
        <f>74</f>
        <v>74</v>
      </c>
      <c r="BH74" s="175">
        <f>F74*AO74</f>
        <v>0</v>
      </c>
      <c r="BI74" s="175">
        <f>F74*AP74</f>
        <v>0</v>
      </c>
      <c r="BJ74" s="175">
        <f>F74*G74</f>
        <v>0</v>
      </c>
      <c r="BK74" s="175"/>
      <c r="BL74" s="175">
        <v>17</v>
      </c>
      <c r="BW74" s="175">
        <v>21</v>
      </c>
    </row>
    <row r="75" spans="1:11" ht="67.5" customHeight="1">
      <c r="A75" s="178"/>
      <c r="B75" s="179" t="s">
        <v>220</v>
      </c>
      <c r="C75" s="571" t="s">
        <v>465</v>
      </c>
      <c r="D75" s="572"/>
      <c r="E75" s="572"/>
      <c r="F75" s="572"/>
      <c r="G75" s="572"/>
      <c r="H75" s="572"/>
      <c r="I75" s="572"/>
      <c r="J75" s="572"/>
      <c r="K75" s="573"/>
    </row>
    <row r="76" spans="1:47" ht="15" customHeight="1">
      <c r="A76" s="171" t="s">
        <v>180</v>
      </c>
      <c r="B76" s="172" t="s">
        <v>285</v>
      </c>
      <c r="C76" s="566" t="s">
        <v>309</v>
      </c>
      <c r="D76" s="567"/>
      <c r="E76" s="173" t="s">
        <v>224</v>
      </c>
      <c r="F76" s="173" t="s">
        <v>224</v>
      </c>
      <c r="G76" s="173" t="s">
        <v>224</v>
      </c>
      <c r="H76" s="153">
        <f>SUM(H77:H77)</f>
        <v>0</v>
      </c>
      <c r="I76" s="153">
        <f>SUM(I77:I77)</f>
        <v>0</v>
      </c>
      <c r="J76" s="153">
        <f>SUM(J77:J77)</f>
        <v>0</v>
      </c>
      <c r="K76" s="174" t="s">
        <v>180</v>
      </c>
      <c r="AI76" s="158" t="s">
        <v>371</v>
      </c>
      <c r="AS76" s="153">
        <f>SUM(AJ77:AJ77)</f>
        <v>0</v>
      </c>
      <c r="AT76" s="153">
        <f>SUM(AK77:AK77)</f>
        <v>0</v>
      </c>
      <c r="AU76" s="153">
        <f>SUM(AL77:AL77)</f>
        <v>0</v>
      </c>
    </row>
    <row r="77" spans="1:75" ht="13.5" customHeight="1">
      <c r="A77" s="137" t="s">
        <v>327</v>
      </c>
      <c r="B77" s="138" t="s">
        <v>466</v>
      </c>
      <c r="C77" s="520" t="s">
        <v>467</v>
      </c>
      <c r="D77" s="521"/>
      <c r="E77" s="138" t="s">
        <v>261</v>
      </c>
      <c r="F77" s="175">
        <v>278</v>
      </c>
      <c r="G77" s="175">
        <v>0</v>
      </c>
      <c r="H77" s="175">
        <f>F77*AO77</f>
        <v>0</v>
      </c>
      <c r="I77" s="175">
        <f>F77*AP77</f>
        <v>0</v>
      </c>
      <c r="J77" s="175">
        <f>F77*G77</f>
        <v>0</v>
      </c>
      <c r="K77" s="176" t="s">
        <v>318</v>
      </c>
      <c r="Z77" s="175">
        <f>IF(AQ77="5",BJ77,0)</f>
        <v>0</v>
      </c>
      <c r="AB77" s="175">
        <f>IF(AQ77="1",BH77,0)</f>
        <v>0</v>
      </c>
      <c r="AC77" s="175">
        <f>IF(AQ77="1",BI77,0)</f>
        <v>0</v>
      </c>
      <c r="AD77" s="175">
        <f>IF(AQ77="7",BH77,0)</f>
        <v>0</v>
      </c>
      <c r="AE77" s="175">
        <f>IF(AQ77="7",BI77,0)</f>
        <v>0</v>
      </c>
      <c r="AF77" s="175">
        <f>IF(AQ77="2",BH77,0)</f>
        <v>0</v>
      </c>
      <c r="AG77" s="175">
        <f>IF(AQ77="2",BI77,0)</f>
        <v>0</v>
      </c>
      <c r="AH77" s="175">
        <f>IF(AQ77="0",BJ77,0)</f>
        <v>0</v>
      </c>
      <c r="AI77" s="158" t="s">
        <v>371</v>
      </c>
      <c r="AJ77" s="175">
        <f>IF(AN77=0,J77,0)</f>
        <v>0</v>
      </c>
      <c r="AK77" s="175">
        <f>IF(AN77=12,J77,0)</f>
        <v>0</v>
      </c>
      <c r="AL77" s="175">
        <f>IF(AN77=21,J77,0)</f>
        <v>0</v>
      </c>
      <c r="AN77" s="175">
        <v>21</v>
      </c>
      <c r="AO77" s="175">
        <f>G77*0</f>
        <v>0</v>
      </c>
      <c r="AP77" s="175">
        <f>G77*(1-0)</f>
        <v>0</v>
      </c>
      <c r="AQ77" s="177" t="s">
        <v>260</v>
      </c>
      <c r="AV77" s="175">
        <f>AW77+AX77</f>
        <v>0</v>
      </c>
      <c r="AW77" s="175">
        <f>F77*AO77</f>
        <v>0</v>
      </c>
      <c r="AX77" s="175">
        <f>F77*AP77</f>
        <v>0</v>
      </c>
      <c r="AY77" s="177" t="s">
        <v>311</v>
      </c>
      <c r="AZ77" s="177" t="s">
        <v>373</v>
      </c>
      <c r="BA77" s="158" t="s">
        <v>374</v>
      </c>
      <c r="BC77" s="175">
        <f>AW77+AX77</f>
        <v>0</v>
      </c>
      <c r="BD77" s="175">
        <f>G77/(100-BE77)*100</f>
        <v>0</v>
      </c>
      <c r="BE77" s="175">
        <v>0</v>
      </c>
      <c r="BF77" s="175">
        <f>77</f>
        <v>77</v>
      </c>
      <c r="BH77" s="175">
        <f>F77*AO77</f>
        <v>0</v>
      </c>
      <c r="BI77" s="175">
        <f>F77*AP77</f>
        <v>0</v>
      </c>
      <c r="BJ77" s="175">
        <f>F77*G77</f>
        <v>0</v>
      </c>
      <c r="BK77" s="175"/>
      <c r="BL77" s="175">
        <v>18</v>
      </c>
      <c r="BW77" s="175">
        <v>21</v>
      </c>
    </row>
    <row r="78" spans="1:47" ht="15" customHeight="1">
      <c r="A78" s="171" t="s">
        <v>180</v>
      </c>
      <c r="B78" s="172" t="s">
        <v>356</v>
      </c>
      <c r="C78" s="566" t="s">
        <v>468</v>
      </c>
      <c r="D78" s="567"/>
      <c r="E78" s="173" t="s">
        <v>224</v>
      </c>
      <c r="F78" s="173" t="s">
        <v>224</v>
      </c>
      <c r="G78" s="173" t="s">
        <v>224</v>
      </c>
      <c r="H78" s="153">
        <f>SUM(H79:H80)</f>
        <v>0</v>
      </c>
      <c r="I78" s="153">
        <f>SUM(I79:I80)</f>
        <v>0</v>
      </c>
      <c r="J78" s="153">
        <f>SUM(J79:J80)</f>
        <v>0</v>
      </c>
      <c r="K78" s="174" t="s">
        <v>180</v>
      </c>
      <c r="AI78" s="158" t="s">
        <v>371</v>
      </c>
      <c r="AS78" s="153">
        <f>SUM(AJ79:AJ80)</f>
        <v>0</v>
      </c>
      <c r="AT78" s="153">
        <f>SUM(AK79:AK80)</f>
        <v>0</v>
      </c>
      <c r="AU78" s="153">
        <f>SUM(AL79:AL80)</f>
        <v>0</v>
      </c>
    </row>
    <row r="79" spans="1:75" ht="13.5" customHeight="1">
      <c r="A79" s="137" t="s">
        <v>328</v>
      </c>
      <c r="B79" s="138" t="s">
        <v>317</v>
      </c>
      <c r="C79" s="520" t="s">
        <v>469</v>
      </c>
      <c r="D79" s="521"/>
      <c r="E79" s="138" t="s">
        <v>297</v>
      </c>
      <c r="F79" s="175">
        <v>12</v>
      </c>
      <c r="G79" s="175">
        <v>0</v>
      </c>
      <c r="H79" s="175">
        <f>F79*AO79</f>
        <v>0</v>
      </c>
      <c r="I79" s="175">
        <f>F79*AP79</f>
        <v>0</v>
      </c>
      <c r="J79" s="175">
        <f>F79*G79</f>
        <v>0</v>
      </c>
      <c r="K79" s="176" t="s">
        <v>318</v>
      </c>
      <c r="Z79" s="175">
        <f>IF(AQ79="5",BJ79,0)</f>
        <v>0</v>
      </c>
      <c r="AB79" s="175">
        <f>IF(AQ79="1",BH79,0)</f>
        <v>0</v>
      </c>
      <c r="AC79" s="175">
        <f>IF(AQ79="1",BI79,0)</f>
        <v>0</v>
      </c>
      <c r="AD79" s="175">
        <f>IF(AQ79="7",BH79,0)</f>
        <v>0</v>
      </c>
      <c r="AE79" s="175">
        <f>IF(AQ79="7",BI79,0)</f>
        <v>0</v>
      </c>
      <c r="AF79" s="175">
        <f>IF(AQ79="2",BH79,0)</f>
        <v>0</v>
      </c>
      <c r="AG79" s="175">
        <f>IF(AQ79="2",BI79,0)</f>
        <v>0</v>
      </c>
      <c r="AH79" s="175">
        <f>IF(AQ79="0",BJ79,0)</f>
        <v>0</v>
      </c>
      <c r="AI79" s="158" t="s">
        <v>371</v>
      </c>
      <c r="AJ79" s="175">
        <f>IF(AN79=0,J79,0)</f>
        <v>0</v>
      </c>
      <c r="AK79" s="175">
        <f>IF(AN79=12,J79,0)</f>
        <v>0</v>
      </c>
      <c r="AL79" s="175">
        <f>IF(AN79=21,J79,0)</f>
        <v>0</v>
      </c>
      <c r="AN79" s="175">
        <v>21</v>
      </c>
      <c r="AO79" s="175">
        <f>G79*0</f>
        <v>0</v>
      </c>
      <c r="AP79" s="175">
        <f>G79*(1-0)</f>
        <v>0</v>
      </c>
      <c r="AQ79" s="177" t="s">
        <v>260</v>
      </c>
      <c r="AV79" s="175">
        <f>AW79+AX79</f>
        <v>0</v>
      </c>
      <c r="AW79" s="175">
        <f>F79*AO79</f>
        <v>0</v>
      </c>
      <c r="AX79" s="175">
        <f>F79*AP79</f>
        <v>0</v>
      </c>
      <c r="AY79" s="177" t="s">
        <v>470</v>
      </c>
      <c r="AZ79" s="177" t="s">
        <v>506</v>
      </c>
      <c r="BA79" s="158" t="s">
        <v>374</v>
      </c>
      <c r="BC79" s="175">
        <f>AW79+AX79</f>
        <v>0</v>
      </c>
      <c r="BD79" s="175">
        <f>G79/(100-BE79)*100</f>
        <v>0</v>
      </c>
      <c r="BE79" s="175">
        <v>0</v>
      </c>
      <c r="BF79" s="175">
        <f>79</f>
        <v>79</v>
      </c>
      <c r="BH79" s="175">
        <f>F79*AO79</f>
        <v>0</v>
      </c>
      <c r="BI79" s="175">
        <f>F79*AP79</f>
        <v>0</v>
      </c>
      <c r="BJ79" s="175">
        <f>F79*G79</f>
        <v>0</v>
      </c>
      <c r="BK79" s="175"/>
      <c r="BL79" s="175">
        <v>57</v>
      </c>
      <c r="BW79" s="175">
        <v>21</v>
      </c>
    </row>
    <row r="80" spans="1:75" ht="13.5" customHeight="1">
      <c r="A80" s="137" t="s">
        <v>329</v>
      </c>
      <c r="B80" s="138" t="s">
        <v>471</v>
      </c>
      <c r="C80" s="520" t="s">
        <v>472</v>
      </c>
      <c r="D80" s="521"/>
      <c r="E80" s="138" t="s">
        <v>473</v>
      </c>
      <c r="F80" s="175">
        <v>4000</v>
      </c>
      <c r="G80" s="175">
        <v>0</v>
      </c>
      <c r="H80" s="175">
        <f>F80*AO80</f>
        <v>0</v>
      </c>
      <c r="I80" s="175">
        <f>F80*AP80</f>
        <v>0</v>
      </c>
      <c r="J80" s="175">
        <f>F80*G80</f>
        <v>0</v>
      </c>
      <c r="K80" s="176" t="s">
        <v>180</v>
      </c>
      <c r="Z80" s="175">
        <f>IF(AQ80="5",BJ80,0)</f>
        <v>0</v>
      </c>
      <c r="AB80" s="175">
        <f>IF(AQ80="1",BH80,0)</f>
        <v>0</v>
      </c>
      <c r="AC80" s="175">
        <f>IF(AQ80="1",BI80,0)</f>
        <v>0</v>
      </c>
      <c r="AD80" s="175">
        <f>IF(AQ80="7",BH80,0)</f>
        <v>0</v>
      </c>
      <c r="AE80" s="175">
        <f>IF(AQ80="7",BI80,0)</f>
        <v>0</v>
      </c>
      <c r="AF80" s="175">
        <f>IF(AQ80="2",BH80,0)</f>
        <v>0</v>
      </c>
      <c r="AG80" s="175">
        <f>IF(AQ80="2",BI80,0)</f>
        <v>0</v>
      </c>
      <c r="AH80" s="175">
        <f>IF(AQ80="0",BJ80,0)</f>
        <v>0</v>
      </c>
      <c r="AI80" s="158" t="s">
        <v>371</v>
      </c>
      <c r="AJ80" s="175">
        <f>IF(AN80=0,J80,0)</f>
        <v>0</v>
      </c>
      <c r="AK80" s="175">
        <f>IF(AN80=12,J80,0)</f>
        <v>0</v>
      </c>
      <c r="AL80" s="175">
        <f>IF(AN80=21,J80,0)</f>
        <v>0</v>
      </c>
      <c r="AN80" s="175">
        <v>21</v>
      </c>
      <c r="AO80" s="175">
        <f>G80*0</f>
        <v>0</v>
      </c>
      <c r="AP80" s="175">
        <f>G80*(1-0)</f>
        <v>0</v>
      </c>
      <c r="AQ80" s="177" t="s">
        <v>270</v>
      </c>
      <c r="AV80" s="175">
        <f>AW80+AX80</f>
        <v>0</v>
      </c>
      <c r="AW80" s="175">
        <f>F80*AO80</f>
        <v>0</v>
      </c>
      <c r="AX80" s="175">
        <f>F80*AP80</f>
        <v>0</v>
      </c>
      <c r="AY80" s="177" t="s">
        <v>470</v>
      </c>
      <c r="AZ80" s="177" t="s">
        <v>506</v>
      </c>
      <c r="BA80" s="158" t="s">
        <v>374</v>
      </c>
      <c r="BC80" s="175">
        <f>AW80+AX80</f>
        <v>0</v>
      </c>
      <c r="BD80" s="175">
        <f>G80/(100-BE80)*100</f>
        <v>0</v>
      </c>
      <c r="BE80" s="175">
        <v>0</v>
      </c>
      <c r="BF80" s="175">
        <f>80</f>
        <v>80</v>
      </c>
      <c r="BH80" s="175">
        <f>F80*AO80</f>
        <v>0</v>
      </c>
      <c r="BI80" s="175">
        <f>F80*AP80</f>
        <v>0</v>
      </c>
      <c r="BJ80" s="175">
        <f>F80*G80</f>
        <v>0</v>
      </c>
      <c r="BK80" s="175"/>
      <c r="BL80" s="175">
        <v>57</v>
      </c>
      <c r="BW80" s="175">
        <v>21</v>
      </c>
    </row>
    <row r="81" spans="1:11" ht="54" customHeight="1">
      <c r="A81" s="178"/>
      <c r="B81" s="179" t="s">
        <v>220</v>
      </c>
      <c r="C81" s="571" t="s">
        <v>474</v>
      </c>
      <c r="D81" s="572"/>
      <c r="E81" s="572"/>
      <c r="F81" s="572"/>
      <c r="G81" s="572"/>
      <c r="H81" s="572"/>
      <c r="I81" s="572"/>
      <c r="J81" s="572"/>
      <c r="K81" s="573"/>
    </row>
    <row r="82" spans="1:47" ht="15" customHeight="1">
      <c r="A82" s="171" t="s">
        <v>180</v>
      </c>
      <c r="B82" s="172" t="s">
        <v>287</v>
      </c>
      <c r="C82" s="566" t="s">
        <v>288</v>
      </c>
      <c r="D82" s="567"/>
      <c r="E82" s="173" t="s">
        <v>224</v>
      </c>
      <c r="F82" s="173" t="s">
        <v>224</v>
      </c>
      <c r="G82" s="173" t="s">
        <v>224</v>
      </c>
      <c r="H82" s="153">
        <f>SUM(H83:H83)</f>
        <v>0</v>
      </c>
      <c r="I82" s="153">
        <f>SUM(I83:I83)</f>
        <v>0</v>
      </c>
      <c r="J82" s="153">
        <f>SUM(J83:J83)</f>
        <v>0</v>
      </c>
      <c r="K82" s="174" t="s">
        <v>180</v>
      </c>
      <c r="AI82" s="158" t="s">
        <v>371</v>
      </c>
      <c r="AS82" s="153">
        <f>SUM(AJ83:AJ83)</f>
        <v>0</v>
      </c>
      <c r="AT82" s="153">
        <f>SUM(AK83:AK83)</f>
        <v>0</v>
      </c>
      <c r="AU82" s="153">
        <f>SUM(AL83:AL83)</f>
        <v>0</v>
      </c>
    </row>
    <row r="83" spans="1:75" ht="13.5" customHeight="1">
      <c r="A83" s="137" t="s">
        <v>330</v>
      </c>
      <c r="B83" s="138" t="s">
        <v>407</v>
      </c>
      <c r="C83" s="520" t="s">
        <v>408</v>
      </c>
      <c r="D83" s="521"/>
      <c r="E83" s="138" t="s">
        <v>43</v>
      </c>
      <c r="F83" s="175">
        <v>777</v>
      </c>
      <c r="G83" s="175">
        <v>0</v>
      </c>
      <c r="H83" s="175">
        <f>F83*AO83</f>
        <v>0</v>
      </c>
      <c r="I83" s="175">
        <f>F83*AP83</f>
        <v>0</v>
      </c>
      <c r="J83" s="175">
        <f>F83*G83</f>
        <v>0</v>
      </c>
      <c r="K83" s="176" t="s">
        <v>262</v>
      </c>
      <c r="Z83" s="175">
        <f>IF(AQ83="5",BJ83,0)</f>
        <v>0</v>
      </c>
      <c r="AB83" s="175">
        <f>IF(AQ83="1",BH83,0)</f>
        <v>0</v>
      </c>
      <c r="AC83" s="175">
        <f>IF(AQ83="1",BI83,0)</f>
        <v>0</v>
      </c>
      <c r="AD83" s="175">
        <f>IF(AQ83="7",BH83,0)</f>
        <v>0</v>
      </c>
      <c r="AE83" s="175">
        <f>IF(AQ83="7",BI83,0)</f>
        <v>0</v>
      </c>
      <c r="AF83" s="175">
        <f>IF(AQ83="2",BH83,0)</f>
        <v>0</v>
      </c>
      <c r="AG83" s="175">
        <f>IF(AQ83="2",BI83,0)</f>
        <v>0</v>
      </c>
      <c r="AH83" s="175">
        <f>IF(AQ83="0",BJ83,0)</f>
        <v>0</v>
      </c>
      <c r="AI83" s="158" t="s">
        <v>371</v>
      </c>
      <c r="AJ83" s="175">
        <f>IF(AN83=0,J83,0)</f>
        <v>0</v>
      </c>
      <c r="AK83" s="175">
        <f>IF(AN83=12,J83,0)</f>
        <v>0</v>
      </c>
      <c r="AL83" s="175">
        <f>IF(AN83=21,J83,0)</f>
        <v>0</v>
      </c>
      <c r="AN83" s="175">
        <v>21</v>
      </c>
      <c r="AO83" s="175">
        <f>G83*0</f>
        <v>0</v>
      </c>
      <c r="AP83" s="175">
        <f>G83*(1-0)</f>
        <v>0</v>
      </c>
      <c r="AQ83" s="177" t="s">
        <v>270</v>
      </c>
      <c r="AV83" s="175">
        <f>AW83+AX83</f>
        <v>0</v>
      </c>
      <c r="AW83" s="175">
        <f>F83*AO83</f>
        <v>0</v>
      </c>
      <c r="AX83" s="175">
        <f>F83*AP83</f>
        <v>0</v>
      </c>
      <c r="AY83" s="177" t="s">
        <v>292</v>
      </c>
      <c r="AZ83" s="177" t="s">
        <v>393</v>
      </c>
      <c r="BA83" s="158" t="s">
        <v>374</v>
      </c>
      <c r="BC83" s="175">
        <f>AW83+AX83</f>
        <v>0</v>
      </c>
      <c r="BD83" s="175">
        <f>G83/(100-BE83)*100</f>
        <v>0</v>
      </c>
      <c r="BE83" s="175">
        <v>0</v>
      </c>
      <c r="BF83" s="175">
        <f>83</f>
        <v>83</v>
      </c>
      <c r="BH83" s="175">
        <f>F83*AO83</f>
        <v>0</v>
      </c>
      <c r="BI83" s="175">
        <f>F83*AP83</f>
        <v>0</v>
      </c>
      <c r="BJ83" s="175">
        <f>F83*G83</f>
        <v>0</v>
      </c>
      <c r="BK83" s="175"/>
      <c r="BL83" s="175"/>
      <c r="BW83" s="175">
        <v>21</v>
      </c>
    </row>
    <row r="84" spans="1:47" ht="15" customHeight="1">
      <c r="A84" s="171" t="s">
        <v>180</v>
      </c>
      <c r="B84" s="172" t="s">
        <v>180</v>
      </c>
      <c r="C84" s="566" t="s">
        <v>203</v>
      </c>
      <c r="D84" s="567"/>
      <c r="E84" s="173" t="s">
        <v>224</v>
      </c>
      <c r="F84" s="173" t="s">
        <v>224</v>
      </c>
      <c r="G84" s="173" t="s">
        <v>224</v>
      </c>
      <c r="H84" s="153">
        <f>SUM(H85:H93)</f>
        <v>0</v>
      </c>
      <c r="I84" s="153">
        <f>SUM(I85:I93)</f>
        <v>0</v>
      </c>
      <c r="J84" s="153">
        <f>SUM(J85:J93)</f>
        <v>0</v>
      </c>
      <c r="K84" s="174" t="s">
        <v>180</v>
      </c>
      <c r="AI84" s="158" t="s">
        <v>371</v>
      </c>
      <c r="AS84" s="153">
        <f>SUM(AJ85:AJ93)</f>
        <v>0</v>
      </c>
      <c r="AT84" s="153">
        <f>SUM(AK85:AK93)</f>
        <v>0</v>
      </c>
      <c r="AU84" s="153">
        <f>SUM(AL85:AL93)</f>
        <v>0</v>
      </c>
    </row>
    <row r="85" spans="1:75" ht="13.5" customHeight="1">
      <c r="A85" s="137" t="s">
        <v>331</v>
      </c>
      <c r="B85" s="138" t="s">
        <v>475</v>
      </c>
      <c r="C85" s="520" t="s">
        <v>476</v>
      </c>
      <c r="D85" s="521"/>
      <c r="E85" s="138" t="s">
        <v>43</v>
      </c>
      <c r="F85" s="175">
        <v>488</v>
      </c>
      <c r="G85" s="175">
        <v>0</v>
      </c>
      <c r="H85" s="175">
        <f>F85*AO85</f>
        <v>0</v>
      </c>
      <c r="I85" s="175">
        <f>F85*AP85</f>
        <v>0</v>
      </c>
      <c r="J85" s="175">
        <f>F85*G85</f>
        <v>0</v>
      </c>
      <c r="K85" s="176" t="s">
        <v>318</v>
      </c>
      <c r="Z85" s="175">
        <f>IF(AQ85="5",BJ85,0)</f>
        <v>0</v>
      </c>
      <c r="AB85" s="175">
        <f>IF(AQ85="1",BH85,0)</f>
        <v>0</v>
      </c>
      <c r="AC85" s="175">
        <f>IF(AQ85="1",BI85,0)</f>
        <v>0</v>
      </c>
      <c r="AD85" s="175">
        <f>IF(AQ85="7",BH85,0)</f>
        <v>0</v>
      </c>
      <c r="AE85" s="175">
        <f>IF(AQ85="7",BI85,0)</f>
        <v>0</v>
      </c>
      <c r="AF85" s="175">
        <f>IF(AQ85="2",BH85,0)</f>
        <v>0</v>
      </c>
      <c r="AG85" s="175">
        <f>IF(AQ85="2",BI85,0)</f>
        <v>0</v>
      </c>
      <c r="AH85" s="175">
        <f>IF(AQ85="0",BJ85,0)</f>
        <v>0</v>
      </c>
      <c r="AI85" s="158" t="s">
        <v>371</v>
      </c>
      <c r="AJ85" s="175">
        <f>IF(AN85=0,J85,0)</f>
        <v>0</v>
      </c>
      <c r="AK85" s="175">
        <f>IF(AN85=12,J85,0)</f>
        <v>0</v>
      </c>
      <c r="AL85" s="175">
        <f>IF(AN85=21,J85,0)</f>
        <v>0</v>
      </c>
      <c r="AN85" s="175">
        <v>21</v>
      </c>
      <c r="AO85" s="175">
        <f>G85*1</f>
        <v>0</v>
      </c>
      <c r="AP85" s="175">
        <f>G85*(1-1)</f>
        <v>0</v>
      </c>
      <c r="AQ85" s="177" t="s">
        <v>301</v>
      </c>
      <c r="AV85" s="175">
        <f>AW85+AX85</f>
        <v>0</v>
      </c>
      <c r="AW85" s="175">
        <f>F85*AO85</f>
        <v>0</v>
      </c>
      <c r="AX85" s="175">
        <f>F85*AP85</f>
        <v>0</v>
      </c>
      <c r="AY85" s="177" t="s">
        <v>302</v>
      </c>
      <c r="AZ85" s="177" t="s">
        <v>394</v>
      </c>
      <c r="BA85" s="158" t="s">
        <v>374</v>
      </c>
      <c r="BC85" s="175">
        <f>AW85+AX85</f>
        <v>0</v>
      </c>
      <c r="BD85" s="175">
        <f>G85/(100-BE85)*100</f>
        <v>0</v>
      </c>
      <c r="BE85" s="175">
        <v>0</v>
      </c>
      <c r="BF85" s="175">
        <f>85</f>
        <v>85</v>
      </c>
      <c r="BH85" s="175">
        <f>F85*AO85</f>
        <v>0</v>
      </c>
      <c r="BI85" s="175">
        <f>F85*AP85</f>
        <v>0</v>
      </c>
      <c r="BJ85" s="175">
        <f>F85*G85</f>
        <v>0</v>
      </c>
      <c r="BK85" s="175"/>
      <c r="BL85" s="175"/>
      <c r="BW85" s="175">
        <v>21</v>
      </c>
    </row>
    <row r="86" spans="1:75" ht="13.5" customHeight="1">
      <c r="A86" s="137" t="s">
        <v>332</v>
      </c>
      <c r="B86" s="138" t="s">
        <v>477</v>
      </c>
      <c r="C86" s="520" t="s">
        <v>478</v>
      </c>
      <c r="D86" s="521"/>
      <c r="E86" s="138" t="s">
        <v>43</v>
      </c>
      <c r="F86" s="175">
        <v>122</v>
      </c>
      <c r="G86" s="175">
        <v>0</v>
      </c>
      <c r="H86" s="175">
        <f>F86*AO86</f>
        <v>0</v>
      </c>
      <c r="I86" s="175">
        <f>F86*AP86</f>
        <v>0</v>
      </c>
      <c r="J86" s="175">
        <f>F86*G86</f>
        <v>0</v>
      </c>
      <c r="K86" s="176" t="s">
        <v>318</v>
      </c>
      <c r="Z86" s="175">
        <f>IF(AQ86="5",BJ86,0)</f>
        <v>0</v>
      </c>
      <c r="AB86" s="175">
        <f>IF(AQ86="1",BH86,0)</f>
        <v>0</v>
      </c>
      <c r="AC86" s="175">
        <f>IF(AQ86="1",BI86,0)</f>
        <v>0</v>
      </c>
      <c r="AD86" s="175">
        <f>IF(AQ86="7",BH86,0)</f>
        <v>0</v>
      </c>
      <c r="AE86" s="175">
        <f>IF(AQ86="7",BI86,0)</f>
        <v>0</v>
      </c>
      <c r="AF86" s="175">
        <f>IF(AQ86="2",BH86,0)</f>
        <v>0</v>
      </c>
      <c r="AG86" s="175">
        <f>IF(AQ86="2",BI86,0)</f>
        <v>0</v>
      </c>
      <c r="AH86" s="175">
        <f>IF(AQ86="0",BJ86,0)</f>
        <v>0</v>
      </c>
      <c r="AI86" s="158" t="s">
        <v>371</v>
      </c>
      <c r="AJ86" s="175">
        <f>IF(AN86=0,J86,0)</f>
        <v>0</v>
      </c>
      <c r="AK86" s="175">
        <f>IF(AN86=12,J86,0)</f>
        <v>0</v>
      </c>
      <c r="AL86" s="175">
        <f>IF(AN86=21,J86,0)</f>
        <v>0</v>
      </c>
      <c r="AN86" s="175">
        <v>21</v>
      </c>
      <c r="AO86" s="175">
        <f>G86*1</f>
        <v>0</v>
      </c>
      <c r="AP86" s="175">
        <f>G86*(1-1)</f>
        <v>0</v>
      </c>
      <c r="AQ86" s="177" t="s">
        <v>301</v>
      </c>
      <c r="AV86" s="175">
        <f>AW86+AX86</f>
        <v>0</v>
      </c>
      <c r="AW86" s="175">
        <f>F86*AO86</f>
        <v>0</v>
      </c>
      <c r="AX86" s="175">
        <f>F86*AP86</f>
        <v>0</v>
      </c>
      <c r="AY86" s="177" t="s">
        <v>302</v>
      </c>
      <c r="AZ86" s="177" t="s">
        <v>394</v>
      </c>
      <c r="BA86" s="158" t="s">
        <v>374</v>
      </c>
      <c r="BC86" s="175">
        <f>AW86+AX86</f>
        <v>0</v>
      </c>
      <c r="BD86" s="175">
        <f>G86/(100-BE86)*100</f>
        <v>0</v>
      </c>
      <c r="BE86" s="175">
        <v>0</v>
      </c>
      <c r="BF86" s="175">
        <f>86</f>
        <v>86</v>
      </c>
      <c r="BH86" s="175">
        <f>F86*AO86</f>
        <v>0</v>
      </c>
      <c r="BI86" s="175">
        <f>F86*AP86</f>
        <v>0</v>
      </c>
      <c r="BJ86" s="175">
        <f>F86*G86</f>
        <v>0</v>
      </c>
      <c r="BK86" s="175"/>
      <c r="BL86" s="175"/>
      <c r="BW86" s="175">
        <v>21</v>
      </c>
    </row>
    <row r="87" spans="1:75" ht="13.5" customHeight="1">
      <c r="A87" s="137" t="s">
        <v>333</v>
      </c>
      <c r="B87" s="138" t="s">
        <v>479</v>
      </c>
      <c r="C87" s="520" t="s">
        <v>480</v>
      </c>
      <c r="D87" s="521"/>
      <c r="E87" s="138" t="s">
        <v>43</v>
      </c>
      <c r="F87" s="175">
        <v>61</v>
      </c>
      <c r="G87" s="175">
        <v>0</v>
      </c>
      <c r="H87" s="175">
        <f>F87*AO87</f>
        <v>0</v>
      </c>
      <c r="I87" s="175">
        <f>F87*AP87</f>
        <v>0</v>
      </c>
      <c r="J87" s="175">
        <f>F87*G87</f>
        <v>0</v>
      </c>
      <c r="K87" s="176" t="s">
        <v>318</v>
      </c>
      <c r="Z87" s="175">
        <f>IF(AQ87="5",BJ87,0)</f>
        <v>0</v>
      </c>
      <c r="AB87" s="175">
        <f>IF(AQ87="1",BH87,0)</f>
        <v>0</v>
      </c>
      <c r="AC87" s="175">
        <f>IF(AQ87="1",BI87,0)</f>
        <v>0</v>
      </c>
      <c r="AD87" s="175">
        <f>IF(AQ87="7",BH87,0)</f>
        <v>0</v>
      </c>
      <c r="AE87" s="175">
        <f>IF(AQ87="7",BI87,0)</f>
        <v>0</v>
      </c>
      <c r="AF87" s="175">
        <f>IF(AQ87="2",BH87,0)</f>
        <v>0</v>
      </c>
      <c r="AG87" s="175">
        <f>IF(AQ87="2",BI87,0)</f>
        <v>0</v>
      </c>
      <c r="AH87" s="175">
        <f>IF(AQ87="0",BJ87,0)</f>
        <v>0</v>
      </c>
      <c r="AI87" s="158" t="s">
        <v>371</v>
      </c>
      <c r="AJ87" s="175">
        <f>IF(AN87=0,J87,0)</f>
        <v>0</v>
      </c>
      <c r="AK87" s="175">
        <f>IF(AN87=12,J87,0)</f>
        <v>0</v>
      </c>
      <c r="AL87" s="175">
        <f>IF(AN87=21,J87,0)</f>
        <v>0</v>
      </c>
      <c r="AN87" s="175">
        <v>21</v>
      </c>
      <c r="AO87" s="175">
        <f>G87*1</f>
        <v>0</v>
      </c>
      <c r="AP87" s="175">
        <f>G87*(1-1)</f>
        <v>0</v>
      </c>
      <c r="AQ87" s="177" t="s">
        <v>301</v>
      </c>
      <c r="AV87" s="175">
        <f>AW87+AX87</f>
        <v>0</v>
      </c>
      <c r="AW87" s="175">
        <f>F87*AO87</f>
        <v>0</v>
      </c>
      <c r="AX87" s="175">
        <f>F87*AP87</f>
        <v>0</v>
      </c>
      <c r="AY87" s="177" t="s">
        <v>302</v>
      </c>
      <c r="AZ87" s="177" t="s">
        <v>394</v>
      </c>
      <c r="BA87" s="158" t="s">
        <v>374</v>
      </c>
      <c r="BC87" s="175">
        <f>AW87+AX87</f>
        <v>0</v>
      </c>
      <c r="BD87" s="175">
        <f>G87/(100-BE87)*100</f>
        <v>0</v>
      </c>
      <c r="BE87" s="175">
        <v>0</v>
      </c>
      <c r="BF87" s="175">
        <f>87</f>
        <v>87</v>
      </c>
      <c r="BH87" s="175">
        <f>F87*AO87</f>
        <v>0</v>
      </c>
      <c r="BI87" s="175">
        <f>F87*AP87</f>
        <v>0</v>
      </c>
      <c r="BJ87" s="175">
        <f>F87*G87</f>
        <v>0</v>
      </c>
      <c r="BK87" s="175"/>
      <c r="BL87" s="175"/>
      <c r="BW87" s="175">
        <v>21</v>
      </c>
    </row>
    <row r="88" spans="1:75" ht="13.5" customHeight="1">
      <c r="A88" s="137" t="s">
        <v>334</v>
      </c>
      <c r="B88" s="138" t="s">
        <v>338</v>
      </c>
      <c r="C88" s="520" t="s">
        <v>481</v>
      </c>
      <c r="D88" s="521"/>
      <c r="E88" s="138" t="s">
        <v>297</v>
      </c>
      <c r="F88" s="175">
        <v>12</v>
      </c>
      <c r="G88" s="175">
        <v>0</v>
      </c>
      <c r="H88" s="175">
        <f>F88*AO88</f>
        <v>0</v>
      </c>
      <c r="I88" s="175">
        <f>F88*AP88</f>
        <v>0</v>
      </c>
      <c r="J88" s="175">
        <f>F88*G88</f>
        <v>0</v>
      </c>
      <c r="K88" s="176" t="s">
        <v>318</v>
      </c>
      <c r="Z88" s="175">
        <f>IF(AQ88="5",BJ88,0)</f>
        <v>0</v>
      </c>
      <c r="AB88" s="175">
        <f>IF(AQ88="1",BH88,0)</f>
        <v>0</v>
      </c>
      <c r="AC88" s="175">
        <f>IF(AQ88="1",BI88,0)</f>
        <v>0</v>
      </c>
      <c r="AD88" s="175">
        <f>IF(AQ88="7",BH88,0)</f>
        <v>0</v>
      </c>
      <c r="AE88" s="175">
        <f>IF(AQ88="7",BI88,0)</f>
        <v>0</v>
      </c>
      <c r="AF88" s="175">
        <f>IF(AQ88="2",BH88,0)</f>
        <v>0</v>
      </c>
      <c r="AG88" s="175">
        <f>IF(AQ88="2",BI88,0)</f>
        <v>0</v>
      </c>
      <c r="AH88" s="175">
        <f>IF(AQ88="0",BJ88,0)</f>
        <v>0</v>
      </c>
      <c r="AI88" s="158" t="s">
        <v>371</v>
      </c>
      <c r="AJ88" s="175">
        <f>IF(AN88=0,J88,0)</f>
        <v>0</v>
      </c>
      <c r="AK88" s="175">
        <f>IF(AN88=12,J88,0)</f>
        <v>0</v>
      </c>
      <c r="AL88" s="175">
        <f>IF(AN88=21,J88,0)</f>
        <v>0</v>
      </c>
      <c r="AN88" s="175">
        <v>21</v>
      </c>
      <c r="AO88" s="175">
        <f>G88*1</f>
        <v>0</v>
      </c>
      <c r="AP88" s="175">
        <f>G88*(1-1)</f>
        <v>0</v>
      </c>
      <c r="AQ88" s="177" t="s">
        <v>301</v>
      </c>
      <c r="AV88" s="175">
        <f>AW88+AX88</f>
        <v>0</v>
      </c>
      <c r="AW88" s="175">
        <f>F88*AO88</f>
        <v>0</v>
      </c>
      <c r="AX88" s="175">
        <f>F88*AP88</f>
        <v>0</v>
      </c>
      <c r="AY88" s="177" t="s">
        <v>302</v>
      </c>
      <c r="AZ88" s="177" t="s">
        <v>394</v>
      </c>
      <c r="BA88" s="158" t="s">
        <v>374</v>
      </c>
      <c r="BC88" s="175">
        <f>AW88+AX88</f>
        <v>0</v>
      </c>
      <c r="BD88" s="175">
        <f>G88/(100-BE88)*100</f>
        <v>0</v>
      </c>
      <c r="BE88" s="175">
        <v>0</v>
      </c>
      <c r="BF88" s="175">
        <f>88</f>
        <v>88</v>
      </c>
      <c r="BH88" s="175">
        <f>F88*AO88</f>
        <v>0</v>
      </c>
      <c r="BI88" s="175">
        <f>F88*AP88</f>
        <v>0</v>
      </c>
      <c r="BJ88" s="175">
        <f>F88*G88</f>
        <v>0</v>
      </c>
      <c r="BK88" s="175"/>
      <c r="BL88" s="175"/>
      <c r="BW88" s="175">
        <v>21</v>
      </c>
    </row>
    <row r="89" spans="1:75" ht="27" customHeight="1">
      <c r="A89" s="137" t="s">
        <v>335</v>
      </c>
      <c r="B89" s="138" t="s">
        <v>482</v>
      </c>
      <c r="C89" s="520" t="s">
        <v>483</v>
      </c>
      <c r="D89" s="521"/>
      <c r="E89" s="138" t="s">
        <v>43</v>
      </c>
      <c r="F89" s="175">
        <v>6.3</v>
      </c>
      <c r="G89" s="175">
        <v>0</v>
      </c>
      <c r="H89" s="175">
        <f>F89*AO89</f>
        <v>0</v>
      </c>
      <c r="I89" s="175">
        <f>F89*AP89</f>
        <v>0</v>
      </c>
      <c r="J89" s="175">
        <f>F89*G89</f>
        <v>0</v>
      </c>
      <c r="K89" s="176" t="s">
        <v>318</v>
      </c>
      <c r="Z89" s="175">
        <f>IF(AQ89="5",BJ89,0)</f>
        <v>0</v>
      </c>
      <c r="AB89" s="175">
        <f>IF(AQ89="1",BH89,0)</f>
        <v>0</v>
      </c>
      <c r="AC89" s="175">
        <f>IF(AQ89="1",BI89,0)</f>
        <v>0</v>
      </c>
      <c r="AD89" s="175">
        <f>IF(AQ89="7",BH89,0)</f>
        <v>0</v>
      </c>
      <c r="AE89" s="175">
        <f>IF(AQ89="7",BI89,0)</f>
        <v>0</v>
      </c>
      <c r="AF89" s="175">
        <f>IF(AQ89="2",BH89,0)</f>
        <v>0</v>
      </c>
      <c r="AG89" s="175">
        <f>IF(AQ89="2",BI89,0)</f>
        <v>0</v>
      </c>
      <c r="AH89" s="175">
        <f>IF(AQ89="0",BJ89,0)</f>
        <v>0</v>
      </c>
      <c r="AI89" s="158" t="s">
        <v>371</v>
      </c>
      <c r="AJ89" s="175">
        <f>IF(AN89=0,J89,0)</f>
        <v>0</v>
      </c>
      <c r="AK89" s="175">
        <f>IF(AN89=12,J89,0)</f>
        <v>0</v>
      </c>
      <c r="AL89" s="175">
        <f>IF(AN89=21,J89,0)</f>
        <v>0</v>
      </c>
      <c r="AN89" s="175">
        <v>21</v>
      </c>
      <c r="AO89" s="175">
        <f>G89*1</f>
        <v>0</v>
      </c>
      <c r="AP89" s="175">
        <f>G89*(1-1)</f>
        <v>0</v>
      </c>
      <c r="AQ89" s="177" t="s">
        <v>301</v>
      </c>
      <c r="AV89" s="175">
        <f>AW89+AX89</f>
        <v>0</v>
      </c>
      <c r="AW89" s="175">
        <f>F89*AO89</f>
        <v>0</v>
      </c>
      <c r="AX89" s="175">
        <f>F89*AP89</f>
        <v>0</v>
      </c>
      <c r="AY89" s="177" t="s">
        <v>302</v>
      </c>
      <c r="AZ89" s="177" t="s">
        <v>394</v>
      </c>
      <c r="BA89" s="158" t="s">
        <v>374</v>
      </c>
      <c r="BC89" s="175">
        <f>AW89+AX89</f>
        <v>0</v>
      </c>
      <c r="BD89" s="175">
        <f>G89/(100-BE89)*100</f>
        <v>0</v>
      </c>
      <c r="BE89" s="175">
        <v>0</v>
      </c>
      <c r="BF89" s="175">
        <f>89</f>
        <v>89</v>
      </c>
      <c r="BH89" s="175">
        <f>F89*AO89</f>
        <v>0</v>
      </c>
      <c r="BI89" s="175">
        <f>F89*AP89</f>
        <v>0</v>
      </c>
      <c r="BJ89" s="175">
        <f>F89*G89</f>
        <v>0</v>
      </c>
      <c r="BK89" s="175"/>
      <c r="BL89" s="175"/>
      <c r="BW89" s="175">
        <v>21</v>
      </c>
    </row>
    <row r="90" spans="1:11" ht="40.5" customHeight="1">
      <c r="A90" s="178"/>
      <c r="B90" s="179" t="s">
        <v>220</v>
      </c>
      <c r="C90" s="571" t="s">
        <v>484</v>
      </c>
      <c r="D90" s="572"/>
      <c r="E90" s="572"/>
      <c r="F90" s="572"/>
      <c r="G90" s="572"/>
      <c r="H90" s="572"/>
      <c r="I90" s="572"/>
      <c r="J90" s="572"/>
      <c r="K90" s="573"/>
    </row>
    <row r="91" spans="1:75" ht="27" customHeight="1">
      <c r="A91" s="137" t="s">
        <v>336</v>
      </c>
      <c r="B91" s="138" t="s">
        <v>485</v>
      </c>
      <c r="C91" s="520" t="s">
        <v>486</v>
      </c>
      <c r="D91" s="521"/>
      <c r="E91" s="138" t="s">
        <v>43</v>
      </c>
      <c r="F91" s="175">
        <v>85</v>
      </c>
      <c r="G91" s="175">
        <v>0</v>
      </c>
      <c r="H91" s="175">
        <f>F91*AO91</f>
        <v>0</v>
      </c>
      <c r="I91" s="175">
        <f>F91*AP91</f>
        <v>0</v>
      </c>
      <c r="J91" s="175">
        <f>F91*G91</f>
        <v>0</v>
      </c>
      <c r="K91" s="176" t="s">
        <v>262</v>
      </c>
      <c r="Z91" s="175">
        <f>IF(AQ91="5",BJ91,0)</f>
        <v>0</v>
      </c>
      <c r="AB91" s="175">
        <f>IF(AQ91="1",BH91,0)</f>
        <v>0</v>
      </c>
      <c r="AC91" s="175">
        <f>IF(AQ91="1",BI91,0)</f>
        <v>0</v>
      </c>
      <c r="AD91" s="175">
        <f>IF(AQ91="7",BH91,0)</f>
        <v>0</v>
      </c>
      <c r="AE91" s="175">
        <f>IF(AQ91="7",BI91,0)</f>
        <v>0</v>
      </c>
      <c r="AF91" s="175">
        <f>IF(AQ91="2",BH91,0)</f>
        <v>0</v>
      </c>
      <c r="AG91" s="175">
        <f>IF(AQ91="2",BI91,0)</f>
        <v>0</v>
      </c>
      <c r="AH91" s="175">
        <f>IF(AQ91="0",BJ91,0)</f>
        <v>0</v>
      </c>
      <c r="AI91" s="158" t="s">
        <v>371</v>
      </c>
      <c r="AJ91" s="175">
        <f>IF(AN91=0,J91,0)</f>
        <v>0</v>
      </c>
      <c r="AK91" s="175">
        <f>IF(AN91=12,J91,0)</f>
        <v>0</v>
      </c>
      <c r="AL91" s="175">
        <f>IF(AN91=21,J91,0)</f>
        <v>0</v>
      </c>
      <c r="AN91" s="175">
        <v>21</v>
      </c>
      <c r="AO91" s="175">
        <f>G91*1</f>
        <v>0</v>
      </c>
      <c r="AP91" s="175">
        <f>G91*(1-1)</f>
        <v>0</v>
      </c>
      <c r="AQ91" s="177" t="s">
        <v>301</v>
      </c>
      <c r="AV91" s="175">
        <f>AW91+AX91</f>
        <v>0</v>
      </c>
      <c r="AW91" s="175">
        <f>F91*AO91</f>
        <v>0</v>
      </c>
      <c r="AX91" s="175">
        <f>F91*AP91</f>
        <v>0</v>
      </c>
      <c r="AY91" s="177" t="s">
        <v>302</v>
      </c>
      <c r="AZ91" s="177" t="s">
        <v>394</v>
      </c>
      <c r="BA91" s="158" t="s">
        <v>374</v>
      </c>
      <c r="BC91" s="175">
        <f>AW91+AX91</f>
        <v>0</v>
      </c>
      <c r="BD91" s="175">
        <f>G91/(100-BE91)*100</f>
        <v>0</v>
      </c>
      <c r="BE91" s="175">
        <v>0</v>
      </c>
      <c r="BF91" s="175">
        <f>91</f>
        <v>91</v>
      </c>
      <c r="BH91" s="175">
        <f>F91*AO91</f>
        <v>0</v>
      </c>
      <c r="BI91" s="175">
        <f>F91*AP91</f>
        <v>0</v>
      </c>
      <c r="BJ91" s="175">
        <f>F91*G91</f>
        <v>0</v>
      </c>
      <c r="BK91" s="175"/>
      <c r="BL91" s="175"/>
      <c r="BW91" s="175">
        <v>21</v>
      </c>
    </row>
    <row r="92" spans="1:75" ht="27" customHeight="1">
      <c r="A92" s="137" t="s">
        <v>337</v>
      </c>
      <c r="B92" s="138" t="s">
        <v>487</v>
      </c>
      <c r="C92" s="520" t="s">
        <v>488</v>
      </c>
      <c r="D92" s="521"/>
      <c r="E92" s="138" t="s">
        <v>261</v>
      </c>
      <c r="F92" s="175">
        <v>278</v>
      </c>
      <c r="G92" s="175">
        <v>0</v>
      </c>
      <c r="H92" s="175">
        <f>F92*AO92</f>
        <v>0</v>
      </c>
      <c r="I92" s="175">
        <f>F92*AP92</f>
        <v>0</v>
      </c>
      <c r="J92" s="175">
        <f>F92*G92</f>
        <v>0</v>
      </c>
      <c r="K92" s="176" t="s">
        <v>318</v>
      </c>
      <c r="Z92" s="175">
        <f>IF(AQ92="5",BJ92,0)</f>
        <v>0</v>
      </c>
      <c r="AB92" s="175">
        <f>IF(AQ92="1",BH92,0)</f>
        <v>0</v>
      </c>
      <c r="AC92" s="175">
        <f>IF(AQ92="1",BI92,0)</f>
        <v>0</v>
      </c>
      <c r="AD92" s="175">
        <f>IF(AQ92="7",BH92,0)</f>
        <v>0</v>
      </c>
      <c r="AE92" s="175">
        <f>IF(AQ92="7",BI92,0)</f>
        <v>0</v>
      </c>
      <c r="AF92" s="175">
        <f>IF(AQ92="2",BH92,0)</f>
        <v>0</v>
      </c>
      <c r="AG92" s="175">
        <f>IF(AQ92="2",BI92,0)</f>
        <v>0</v>
      </c>
      <c r="AH92" s="175">
        <f>IF(AQ92="0",BJ92,0)</f>
        <v>0</v>
      </c>
      <c r="AI92" s="158" t="s">
        <v>371</v>
      </c>
      <c r="AJ92" s="175">
        <f>IF(AN92=0,J92,0)</f>
        <v>0</v>
      </c>
      <c r="AK92" s="175">
        <f>IF(AN92=12,J92,0)</f>
        <v>0</v>
      </c>
      <c r="AL92" s="175">
        <f>IF(AN92=21,J92,0)</f>
        <v>0</v>
      </c>
      <c r="AN92" s="175">
        <v>21</v>
      </c>
      <c r="AO92" s="175">
        <f>G92*1</f>
        <v>0</v>
      </c>
      <c r="AP92" s="175">
        <f>G92*(1-1)</f>
        <v>0</v>
      </c>
      <c r="AQ92" s="177" t="s">
        <v>301</v>
      </c>
      <c r="AV92" s="175">
        <f>AW92+AX92</f>
        <v>0</v>
      </c>
      <c r="AW92" s="175">
        <f>F92*AO92</f>
        <v>0</v>
      </c>
      <c r="AX92" s="175">
        <f>F92*AP92</f>
        <v>0</v>
      </c>
      <c r="AY92" s="177" t="s">
        <v>302</v>
      </c>
      <c r="AZ92" s="177" t="s">
        <v>394</v>
      </c>
      <c r="BA92" s="158" t="s">
        <v>374</v>
      </c>
      <c r="BC92" s="175">
        <f>AW92+AX92</f>
        <v>0</v>
      </c>
      <c r="BD92" s="175">
        <f>G92/(100-BE92)*100</f>
        <v>0</v>
      </c>
      <c r="BE92" s="175">
        <v>0</v>
      </c>
      <c r="BF92" s="175">
        <f>92</f>
        <v>92</v>
      </c>
      <c r="BH92" s="175">
        <f>F92*AO92</f>
        <v>0</v>
      </c>
      <c r="BI92" s="175">
        <f>F92*AP92</f>
        <v>0</v>
      </c>
      <c r="BJ92" s="175">
        <f>F92*G92</f>
        <v>0</v>
      </c>
      <c r="BK92" s="175"/>
      <c r="BL92" s="175"/>
      <c r="BW92" s="175">
        <v>21</v>
      </c>
    </row>
    <row r="93" spans="1:75" ht="13.5" customHeight="1">
      <c r="A93" s="137" t="s">
        <v>339</v>
      </c>
      <c r="B93" s="138" t="s">
        <v>325</v>
      </c>
      <c r="C93" s="520" t="s">
        <v>326</v>
      </c>
      <c r="D93" s="521"/>
      <c r="E93" s="138" t="s">
        <v>297</v>
      </c>
      <c r="F93" s="175">
        <v>24</v>
      </c>
      <c r="G93" s="175">
        <v>0</v>
      </c>
      <c r="H93" s="175">
        <f>F93*AO93</f>
        <v>0</v>
      </c>
      <c r="I93" s="175">
        <f>F93*AP93</f>
        <v>0</v>
      </c>
      <c r="J93" s="175">
        <f>F93*G93</f>
        <v>0</v>
      </c>
      <c r="K93" s="176" t="s">
        <v>262</v>
      </c>
      <c r="Z93" s="175">
        <f>IF(AQ93="5",BJ93,0)</f>
        <v>0</v>
      </c>
      <c r="AB93" s="175">
        <f>IF(AQ93="1",BH93,0)</f>
        <v>0</v>
      </c>
      <c r="AC93" s="175">
        <f>IF(AQ93="1",BI93,0)</f>
        <v>0</v>
      </c>
      <c r="AD93" s="175">
        <f>IF(AQ93="7",BH93,0)</f>
        <v>0</v>
      </c>
      <c r="AE93" s="175">
        <f>IF(AQ93="7",BI93,0)</f>
        <v>0</v>
      </c>
      <c r="AF93" s="175">
        <f>IF(AQ93="2",BH93,0)</f>
        <v>0</v>
      </c>
      <c r="AG93" s="175">
        <f>IF(AQ93="2",BI93,0)</f>
        <v>0</v>
      </c>
      <c r="AH93" s="175">
        <f>IF(AQ93="0",BJ93,0)</f>
        <v>0</v>
      </c>
      <c r="AI93" s="158" t="s">
        <v>371</v>
      </c>
      <c r="AJ93" s="175">
        <f>IF(AN93=0,J93,0)</f>
        <v>0</v>
      </c>
      <c r="AK93" s="175">
        <f>IF(AN93=12,J93,0)</f>
        <v>0</v>
      </c>
      <c r="AL93" s="175">
        <f>IF(AN93=21,J93,0)</f>
        <v>0</v>
      </c>
      <c r="AN93" s="175">
        <v>21</v>
      </c>
      <c r="AO93" s="175">
        <f>G93*1</f>
        <v>0</v>
      </c>
      <c r="AP93" s="175">
        <f>G93*(1-1)</f>
        <v>0</v>
      </c>
      <c r="AQ93" s="177" t="s">
        <v>301</v>
      </c>
      <c r="AV93" s="175">
        <f>AW93+AX93</f>
        <v>0</v>
      </c>
      <c r="AW93" s="175">
        <f>F93*AO93</f>
        <v>0</v>
      </c>
      <c r="AX93" s="175">
        <f>F93*AP93</f>
        <v>0</v>
      </c>
      <c r="AY93" s="177" t="s">
        <v>302</v>
      </c>
      <c r="AZ93" s="177" t="s">
        <v>394</v>
      </c>
      <c r="BA93" s="158" t="s">
        <v>374</v>
      </c>
      <c r="BC93" s="175">
        <f>AW93+AX93</f>
        <v>0</v>
      </c>
      <c r="BD93" s="175">
        <f>G93/(100-BE93)*100</f>
        <v>0</v>
      </c>
      <c r="BE93" s="175">
        <v>0</v>
      </c>
      <c r="BF93" s="175">
        <f>93</f>
        <v>93</v>
      </c>
      <c r="BH93" s="175">
        <f>F93*AO93</f>
        <v>0</v>
      </c>
      <c r="BI93" s="175">
        <f>F93*AP93</f>
        <v>0</v>
      </c>
      <c r="BJ93" s="175">
        <f>F93*G93</f>
        <v>0</v>
      </c>
      <c r="BK93" s="175"/>
      <c r="BL93" s="175"/>
      <c r="BW93" s="175">
        <v>21</v>
      </c>
    </row>
    <row r="94" spans="1:11" ht="13.5" customHeight="1">
      <c r="A94" s="178"/>
      <c r="B94" s="179" t="s">
        <v>220</v>
      </c>
      <c r="C94" s="571" t="s">
        <v>489</v>
      </c>
      <c r="D94" s="572"/>
      <c r="E94" s="572"/>
      <c r="F94" s="572"/>
      <c r="G94" s="572"/>
      <c r="H94" s="572"/>
      <c r="I94" s="572"/>
      <c r="J94" s="572"/>
      <c r="K94" s="573"/>
    </row>
    <row r="95" spans="1:11" ht="15" customHeight="1">
      <c r="A95" s="166" t="s">
        <v>180</v>
      </c>
      <c r="B95" s="167" t="s">
        <v>180</v>
      </c>
      <c r="C95" s="574" t="s">
        <v>490</v>
      </c>
      <c r="D95" s="575"/>
      <c r="E95" s="168" t="s">
        <v>224</v>
      </c>
      <c r="F95" s="168" t="s">
        <v>224</v>
      </c>
      <c r="G95" s="168" t="s">
        <v>224</v>
      </c>
      <c r="H95" s="169">
        <f>H96+H101+H103+H105+H107</f>
        <v>0</v>
      </c>
      <c r="I95" s="169">
        <f>I96+I101+I103+I105+I107</f>
        <v>0</v>
      </c>
      <c r="J95" s="169">
        <f>J96+J101+J103+J105+J107</f>
        <v>0</v>
      </c>
      <c r="K95" s="170" t="s">
        <v>180</v>
      </c>
    </row>
    <row r="96" spans="1:47" ht="15" customHeight="1">
      <c r="A96" s="171" t="s">
        <v>180</v>
      </c>
      <c r="B96" s="172" t="s">
        <v>275</v>
      </c>
      <c r="C96" s="566" t="s">
        <v>276</v>
      </c>
      <c r="D96" s="567"/>
      <c r="E96" s="173" t="s">
        <v>224</v>
      </c>
      <c r="F96" s="173" t="s">
        <v>224</v>
      </c>
      <c r="G96" s="173" t="s">
        <v>224</v>
      </c>
      <c r="H96" s="153">
        <f>SUM(H97:H100)</f>
        <v>0</v>
      </c>
      <c r="I96" s="153">
        <f>SUM(I97:I100)</f>
        <v>0</v>
      </c>
      <c r="J96" s="153">
        <f>SUM(J97:J100)</f>
        <v>0</v>
      </c>
      <c r="K96" s="174" t="s">
        <v>180</v>
      </c>
      <c r="AI96" s="158" t="s">
        <v>396</v>
      </c>
      <c r="AS96" s="153">
        <f>SUM(AJ97:AJ100)</f>
        <v>0</v>
      </c>
      <c r="AT96" s="153">
        <f>SUM(AK97:AK100)</f>
        <v>0</v>
      </c>
      <c r="AU96" s="153">
        <f>SUM(AL97:AL100)</f>
        <v>0</v>
      </c>
    </row>
    <row r="97" spans="1:75" ht="13.5" customHeight="1">
      <c r="A97" s="137" t="s">
        <v>341</v>
      </c>
      <c r="B97" s="138" t="s">
        <v>345</v>
      </c>
      <c r="C97" s="520" t="s">
        <v>491</v>
      </c>
      <c r="D97" s="521"/>
      <c r="E97" s="138" t="s">
        <v>297</v>
      </c>
      <c r="F97" s="175">
        <v>10.2</v>
      </c>
      <c r="G97" s="175">
        <v>0</v>
      </c>
      <c r="H97" s="175">
        <f>F97*AO97</f>
        <v>0</v>
      </c>
      <c r="I97" s="175">
        <f>F97*AP97</f>
        <v>0</v>
      </c>
      <c r="J97" s="175">
        <f>F97*G97</f>
        <v>0</v>
      </c>
      <c r="K97" s="176" t="s">
        <v>262</v>
      </c>
      <c r="Z97" s="175">
        <f>IF(AQ97="5",BJ97,0)</f>
        <v>0</v>
      </c>
      <c r="AB97" s="175">
        <f>IF(AQ97="1",BH97,0)</f>
        <v>0</v>
      </c>
      <c r="AC97" s="175">
        <f>IF(AQ97="1",BI97,0)</f>
        <v>0</v>
      </c>
      <c r="AD97" s="175">
        <f>IF(AQ97="7",BH97,0)</f>
        <v>0</v>
      </c>
      <c r="AE97" s="175">
        <f>IF(AQ97="7",BI97,0)</f>
        <v>0</v>
      </c>
      <c r="AF97" s="175">
        <f>IF(AQ97="2",BH97,0)</f>
        <v>0</v>
      </c>
      <c r="AG97" s="175">
        <f>IF(AQ97="2",BI97,0)</f>
        <v>0</v>
      </c>
      <c r="AH97" s="175">
        <f>IF(AQ97="0",BJ97,0)</f>
        <v>0</v>
      </c>
      <c r="AI97" s="158" t="s">
        <v>396</v>
      </c>
      <c r="AJ97" s="175">
        <f>IF(AN97=0,J97,0)</f>
        <v>0</v>
      </c>
      <c r="AK97" s="175">
        <f>IF(AN97=12,J97,0)</f>
        <v>0</v>
      </c>
      <c r="AL97" s="175">
        <f>IF(AN97=21,J97,0)</f>
        <v>0</v>
      </c>
      <c r="AN97" s="175">
        <v>21</v>
      </c>
      <c r="AO97" s="175">
        <f>G97*0</f>
        <v>0</v>
      </c>
      <c r="AP97" s="175">
        <f>G97*(1-0)</f>
        <v>0</v>
      </c>
      <c r="AQ97" s="177" t="s">
        <v>260</v>
      </c>
      <c r="AV97" s="175">
        <f>AW97+AX97</f>
        <v>0</v>
      </c>
      <c r="AW97" s="175">
        <f>F97*AO97</f>
        <v>0</v>
      </c>
      <c r="AX97" s="175">
        <f>F97*AP97</f>
        <v>0</v>
      </c>
      <c r="AY97" s="177" t="s">
        <v>278</v>
      </c>
      <c r="AZ97" s="177" t="s">
        <v>397</v>
      </c>
      <c r="BA97" s="158" t="s">
        <v>398</v>
      </c>
      <c r="BC97" s="175">
        <f>AW97+AX97</f>
        <v>0</v>
      </c>
      <c r="BD97" s="175">
        <f>G97/(100-BE97)*100</f>
        <v>0</v>
      </c>
      <c r="BE97" s="175">
        <v>0</v>
      </c>
      <c r="BF97" s="175">
        <f>97</f>
        <v>97</v>
      </c>
      <c r="BH97" s="175">
        <f>F97*AO97</f>
        <v>0</v>
      </c>
      <c r="BI97" s="175">
        <f>F97*AP97</f>
        <v>0</v>
      </c>
      <c r="BJ97" s="175">
        <f>F97*G97</f>
        <v>0</v>
      </c>
      <c r="BK97" s="175"/>
      <c r="BL97" s="175">
        <v>16</v>
      </c>
      <c r="BW97" s="175">
        <v>21</v>
      </c>
    </row>
    <row r="98" spans="1:11" ht="13.5" customHeight="1">
      <c r="A98" s="178"/>
      <c r="B98" s="179" t="s">
        <v>220</v>
      </c>
      <c r="C98" s="571" t="s">
        <v>457</v>
      </c>
      <c r="D98" s="572"/>
      <c r="E98" s="572"/>
      <c r="F98" s="572"/>
      <c r="G98" s="572"/>
      <c r="H98" s="572"/>
      <c r="I98" s="572"/>
      <c r="J98" s="572"/>
      <c r="K98" s="573"/>
    </row>
    <row r="99" spans="1:75" ht="13.5" customHeight="1">
      <c r="A99" s="137" t="s">
        <v>344</v>
      </c>
      <c r="B99" s="138" t="s">
        <v>308</v>
      </c>
      <c r="C99" s="520" t="s">
        <v>492</v>
      </c>
      <c r="D99" s="521"/>
      <c r="E99" s="138" t="s">
        <v>297</v>
      </c>
      <c r="F99" s="175">
        <v>12.5</v>
      </c>
      <c r="G99" s="175">
        <v>0</v>
      </c>
      <c r="H99" s="175">
        <f>F99*AO99</f>
        <v>0</v>
      </c>
      <c r="I99" s="175">
        <f>F99*AP99</f>
        <v>0</v>
      </c>
      <c r="J99" s="175">
        <f>F99*G99</f>
        <v>0</v>
      </c>
      <c r="K99" s="176" t="s">
        <v>262</v>
      </c>
      <c r="Z99" s="175">
        <f>IF(AQ99="5",BJ99,0)</f>
        <v>0</v>
      </c>
      <c r="AB99" s="175">
        <f>IF(AQ99="1",BH99,0)</f>
        <v>0</v>
      </c>
      <c r="AC99" s="175">
        <f>IF(AQ99="1",BI99,0)</f>
        <v>0</v>
      </c>
      <c r="AD99" s="175">
        <f>IF(AQ99="7",BH99,0)</f>
        <v>0</v>
      </c>
      <c r="AE99" s="175">
        <f>IF(AQ99="7",BI99,0)</f>
        <v>0</v>
      </c>
      <c r="AF99" s="175">
        <f>IF(AQ99="2",BH99,0)</f>
        <v>0</v>
      </c>
      <c r="AG99" s="175">
        <f>IF(AQ99="2",BI99,0)</f>
        <v>0</v>
      </c>
      <c r="AH99" s="175">
        <f>IF(AQ99="0",BJ99,0)</f>
        <v>0</v>
      </c>
      <c r="AI99" s="158" t="s">
        <v>396</v>
      </c>
      <c r="AJ99" s="175">
        <f>IF(AN99=0,J99,0)</f>
        <v>0</v>
      </c>
      <c r="AK99" s="175">
        <f>IF(AN99=12,J99,0)</f>
        <v>0</v>
      </c>
      <c r="AL99" s="175">
        <f>IF(AN99=21,J99,0)</f>
        <v>0</v>
      </c>
      <c r="AN99" s="175">
        <v>21</v>
      </c>
      <c r="AO99" s="175">
        <f>G99*0</f>
        <v>0</v>
      </c>
      <c r="AP99" s="175">
        <f>G99*(1-0)</f>
        <v>0</v>
      </c>
      <c r="AQ99" s="177" t="s">
        <v>260</v>
      </c>
      <c r="AV99" s="175">
        <f>AW99+AX99</f>
        <v>0</v>
      </c>
      <c r="AW99" s="175">
        <f>F99*AO99</f>
        <v>0</v>
      </c>
      <c r="AX99" s="175">
        <f>F99*AP99</f>
        <v>0</v>
      </c>
      <c r="AY99" s="177" t="s">
        <v>278</v>
      </c>
      <c r="AZ99" s="177" t="s">
        <v>397</v>
      </c>
      <c r="BA99" s="158" t="s">
        <v>398</v>
      </c>
      <c r="BC99" s="175">
        <f>AW99+AX99</f>
        <v>0</v>
      </c>
      <c r="BD99" s="175">
        <f>G99/(100-BE99)*100</f>
        <v>0</v>
      </c>
      <c r="BE99" s="175">
        <v>0</v>
      </c>
      <c r="BF99" s="175">
        <f>99</f>
        <v>99</v>
      </c>
      <c r="BH99" s="175">
        <f>F99*AO99</f>
        <v>0</v>
      </c>
      <c r="BI99" s="175">
        <f>F99*AP99</f>
        <v>0</v>
      </c>
      <c r="BJ99" s="175">
        <f>F99*G99</f>
        <v>0</v>
      </c>
      <c r="BK99" s="175"/>
      <c r="BL99" s="175">
        <v>16</v>
      </c>
      <c r="BW99" s="175">
        <v>21</v>
      </c>
    </row>
    <row r="100" spans="1:75" ht="13.5" customHeight="1">
      <c r="A100" s="137" t="s">
        <v>346</v>
      </c>
      <c r="B100" s="138" t="s">
        <v>433</v>
      </c>
      <c r="C100" s="520" t="s">
        <v>493</v>
      </c>
      <c r="D100" s="521"/>
      <c r="E100" s="138" t="s">
        <v>297</v>
      </c>
      <c r="F100" s="175">
        <v>12.5</v>
      </c>
      <c r="G100" s="175">
        <v>0</v>
      </c>
      <c r="H100" s="175">
        <f>F100*AO100</f>
        <v>0</v>
      </c>
      <c r="I100" s="175">
        <f>F100*AP100</f>
        <v>0</v>
      </c>
      <c r="J100" s="175">
        <f>F100*G100</f>
        <v>0</v>
      </c>
      <c r="K100" s="176" t="s">
        <v>262</v>
      </c>
      <c r="Z100" s="175">
        <f>IF(AQ100="5",BJ100,0)</f>
        <v>0</v>
      </c>
      <c r="AB100" s="175">
        <f>IF(AQ100="1",BH100,0)</f>
        <v>0</v>
      </c>
      <c r="AC100" s="175">
        <f>IF(AQ100="1",BI100,0)</f>
        <v>0</v>
      </c>
      <c r="AD100" s="175">
        <f>IF(AQ100="7",BH100,0)</f>
        <v>0</v>
      </c>
      <c r="AE100" s="175">
        <f>IF(AQ100="7",BI100,0)</f>
        <v>0</v>
      </c>
      <c r="AF100" s="175">
        <f>IF(AQ100="2",BH100,0)</f>
        <v>0</v>
      </c>
      <c r="AG100" s="175">
        <f>IF(AQ100="2",BI100,0)</f>
        <v>0</v>
      </c>
      <c r="AH100" s="175">
        <f>IF(AQ100="0",BJ100,0)</f>
        <v>0</v>
      </c>
      <c r="AI100" s="158" t="s">
        <v>396</v>
      </c>
      <c r="AJ100" s="175">
        <f>IF(AN100=0,J100,0)</f>
        <v>0</v>
      </c>
      <c r="AK100" s="175">
        <f>IF(AN100=12,J100,0)</f>
        <v>0</v>
      </c>
      <c r="AL100" s="175">
        <f>IF(AN100=21,J100,0)</f>
        <v>0</v>
      </c>
      <c r="AN100" s="175">
        <v>21</v>
      </c>
      <c r="AO100" s="175">
        <f>G100*0</f>
        <v>0</v>
      </c>
      <c r="AP100" s="175">
        <f>G100*(1-0)</f>
        <v>0</v>
      </c>
      <c r="AQ100" s="177" t="s">
        <v>260</v>
      </c>
      <c r="AV100" s="175">
        <f>AW100+AX100</f>
        <v>0</v>
      </c>
      <c r="AW100" s="175">
        <f>F100*AO100</f>
        <v>0</v>
      </c>
      <c r="AX100" s="175">
        <f>F100*AP100</f>
        <v>0</v>
      </c>
      <c r="AY100" s="177" t="s">
        <v>278</v>
      </c>
      <c r="AZ100" s="177" t="s">
        <v>397</v>
      </c>
      <c r="BA100" s="158" t="s">
        <v>398</v>
      </c>
      <c r="BC100" s="175">
        <f>AW100+AX100</f>
        <v>0</v>
      </c>
      <c r="BD100" s="175">
        <f>G100/(100-BE100)*100</f>
        <v>0</v>
      </c>
      <c r="BE100" s="175">
        <v>0</v>
      </c>
      <c r="BF100" s="175">
        <f>100</f>
        <v>100</v>
      </c>
      <c r="BH100" s="175">
        <f>F100*AO100</f>
        <v>0</v>
      </c>
      <c r="BI100" s="175">
        <f>F100*AP100</f>
        <v>0</v>
      </c>
      <c r="BJ100" s="175">
        <f>F100*G100</f>
        <v>0</v>
      </c>
      <c r="BK100" s="175"/>
      <c r="BL100" s="175">
        <v>16</v>
      </c>
      <c r="BW100" s="175">
        <v>21</v>
      </c>
    </row>
    <row r="101" spans="1:47" ht="15" customHeight="1">
      <c r="A101" s="171" t="s">
        <v>180</v>
      </c>
      <c r="B101" s="172" t="s">
        <v>285</v>
      </c>
      <c r="C101" s="566" t="s">
        <v>309</v>
      </c>
      <c r="D101" s="567"/>
      <c r="E101" s="173" t="s">
        <v>224</v>
      </c>
      <c r="F101" s="173" t="s">
        <v>224</v>
      </c>
      <c r="G101" s="173" t="s">
        <v>224</v>
      </c>
      <c r="H101" s="153">
        <f>SUM(H102:H102)</f>
        <v>0</v>
      </c>
      <c r="I101" s="153">
        <f>SUM(I102:I102)</f>
        <v>0</v>
      </c>
      <c r="J101" s="153">
        <f>SUM(J102:J102)</f>
        <v>0</v>
      </c>
      <c r="K101" s="174" t="s">
        <v>180</v>
      </c>
      <c r="AI101" s="158" t="s">
        <v>396</v>
      </c>
      <c r="AS101" s="153">
        <f>SUM(AJ102:AJ102)</f>
        <v>0</v>
      </c>
      <c r="AT101" s="153">
        <f>SUM(AK102:AK102)</f>
        <v>0</v>
      </c>
      <c r="AU101" s="153">
        <f>SUM(AL102:AL102)</f>
        <v>0</v>
      </c>
    </row>
    <row r="102" spans="1:75" ht="13.5" customHeight="1">
      <c r="A102" s="137" t="s">
        <v>348</v>
      </c>
      <c r="B102" s="138" t="s">
        <v>352</v>
      </c>
      <c r="C102" s="520" t="s">
        <v>494</v>
      </c>
      <c r="D102" s="521"/>
      <c r="E102" s="138" t="s">
        <v>261</v>
      </c>
      <c r="F102" s="175">
        <v>34</v>
      </c>
      <c r="G102" s="175">
        <v>0</v>
      </c>
      <c r="H102" s="175">
        <f>F102*AO102</f>
        <v>0</v>
      </c>
      <c r="I102" s="175">
        <f>F102*AP102</f>
        <v>0</v>
      </c>
      <c r="J102" s="175">
        <f>F102*G102</f>
        <v>0</v>
      </c>
      <c r="K102" s="176" t="s">
        <v>262</v>
      </c>
      <c r="Z102" s="175">
        <f>IF(AQ102="5",BJ102,0)</f>
        <v>0</v>
      </c>
      <c r="AB102" s="175">
        <f>IF(AQ102="1",BH102,0)</f>
        <v>0</v>
      </c>
      <c r="AC102" s="175">
        <f>IF(AQ102="1",BI102,0)</f>
        <v>0</v>
      </c>
      <c r="AD102" s="175">
        <f>IF(AQ102="7",BH102,0)</f>
        <v>0</v>
      </c>
      <c r="AE102" s="175">
        <f>IF(AQ102="7",BI102,0)</f>
        <v>0</v>
      </c>
      <c r="AF102" s="175">
        <f>IF(AQ102="2",BH102,0)</f>
        <v>0</v>
      </c>
      <c r="AG102" s="175">
        <f>IF(AQ102="2",BI102,0)</f>
        <v>0</v>
      </c>
      <c r="AH102" s="175">
        <f>IF(AQ102="0",BJ102,0)</f>
        <v>0</v>
      </c>
      <c r="AI102" s="158" t="s">
        <v>396</v>
      </c>
      <c r="AJ102" s="175">
        <f>IF(AN102=0,J102,0)</f>
        <v>0</v>
      </c>
      <c r="AK102" s="175">
        <f>IF(AN102=12,J102,0)</f>
        <v>0</v>
      </c>
      <c r="AL102" s="175">
        <f>IF(AN102=21,J102,0)</f>
        <v>0</v>
      </c>
      <c r="AN102" s="175">
        <v>21</v>
      </c>
      <c r="AO102" s="175">
        <f>G102*0</f>
        <v>0</v>
      </c>
      <c r="AP102" s="175">
        <f>G102*(1-0)</f>
        <v>0</v>
      </c>
      <c r="AQ102" s="177" t="s">
        <v>260</v>
      </c>
      <c r="AV102" s="175">
        <f>AW102+AX102</f>
        <v>0</v>
      </c>
      <c r="AW102" s="175">
        <f>F102*AO102</f>
        <v>0</v>
      </c>
      <c r="AX102" s="175">
        <f>F102*AP102</f>
        <v>0</v>
      </c>
      <c r="AY102" s="177" t="s">
        <v>311</v>
      </c>
      <c r="AZ102" s="177" t="s">
        <v>397</v>
      </c>
      <c r="BA102" s="158" t="s">
        <v>398</v>
      </c>
      <c r="BC102" s="175">
        <f>AW102+AX102</f>
        <v>0</v>
      </c>
      <c r="BD102" s="175">
        <f>G102/(100-BE102)*100</f>
        <v>0</v>
      </c>
      <c r="BE102" s="175">
        <v>0</v>
      </c>
      <c r="BF102" s="175">
        <f>102</f>
        <v>102</v>
      </c>
      <c r="BH102" s="175">
        <f>F102*AO102</f>
        <v>0</v>
      </c>
      <c r="BI102" s="175">
        <f>F102*AP102</f>
        <v>0</v>
      </c>
      <c r="BJ102" s="175">
        <f>F102*G102</f>
        <v>0</v>
      </c>
      <c r="BK102" s="175"/>
      <c r="BL102" s="175">
        <v>18</v>
      </c>
      <c r="BW102" s="175">
        <v>21</v>
      </c>
    </row>
    <row r="103" spans="1:47" ht="15" customHeight="1">
      <c r="A103" s="171" t="s">
        <v>180</v>
      </c>
      <c r="B103" s="172" t="s">
        <v>395</v>
      </c>
      <c r="C103" s="566" t="s">
        <v>495</v>
      </c>
      <c r="D103" s="567"/>
      <c r="E103" s="173" t="s">
        <v>224</v>
      </c>
      <c r="F103" s="173" t="s">
        <v>224</v>
      </c>
      <c r="G103" s="173" t="s">
        <v>224</v>
      </c>
      <c r="H103" s="153">
        <f>SUM(H104:H104)</f>
        <v>0</v>
      </c>
      <c r="I103" s="153">
        <f>SUM(I104:I104)</f>
        <v>0</v>
      </c>
      <c r="J103" s="153">
        <f>SUM(J104:J104)</f>
        <v>0</v>
      </c>
      <c r="K103" s="174" t="s">
        <v>180</v>
      </c>
      <c r="AI103" s="158" t="s">
        <v>396</v>
      </c>
      <c r="AS103" s="153">
        <f>SUM(AJ104:AJ104)</f>
        <v>0</v>
      </c>
      <c r="AT103" s="153">
        <f>SUM(AK104:AK104)</f>
        <v>0</v>
      </c>
      <c r="AU103" s="153">
        <f>SUM(AL104:AL104)</f>
        <v>0</v>
      </c>
    </row>
    <row r="104" spans="1:75" ht="13.5" customHeight="1">
      <c r="A104" s="137" t="s">
        <v>351</v>
      </c>
      <c r="B104" s="138" t="s">
        <v>496</v>
      </c>
      <c r="C104" s="520" t="s">
        <v>497</v>
      </c>
      <c r="D104" s="521"/>
      <c r="E104" s="138" t="s">
        <v>35</v>
      </c>
      <c r="F104" s="175">
        <v>67</v>
      </c>
      <c r="G104" s="175">
        <v>0</v>
      </c>
      <c r="H104" s="175">
        <f>F104*AO104</f>
        <v>0</v>
      </c>
      <c r="I104" s="175">
        <f>F104*AP104</f>
        <v>0</v>
      </c>
      <c r="J104" s="175">
        <f>F104*G104</f>
        <v>0</v>
      </c>
      <c r="K104" s="176" t="s">
        <v>262</v>
      </c>
      <c r="Z104" s="175">
        <f>IF(AQ104="5",BJ104,0)</f>
        <v>0</v>
      </c>
      <c r="AB104" s="175">
        <f>IF(AQ104="1",BH104,0)</f>
        <v>0</v>
      </c>
      <c r="AC104" s="175">
        <f>IF(AQ104="1",BI104,0)</f>
        <v>0</v>
      </c>
      <c r="AD104" s="175">
        <f>IF(AQ104="7",BH104,0)</f>
        <v>0</v>
      </c>
      <c r="AE104" s="175">
        <f>IF(AQ104="7",BI104,0)</f>
        <v>0</v>
      </c>
      <c r="AF104" s="175">
        <f>IF(AQ104="2",BH104,0)</f>
        <v>0</v>
      </c>
      <c r="AG104" s="175">
        <f>IF(AQ104="2",BI104,0)</f>
        <v>0</v>
      </c>
      <c r="AH104" s="175">
        <f>IF(AQ104="0",BJ104,0)</f>
        <v>0</v>
      </c>
      <c r="AI104" s="158" t="s">
        <v>396</v>
      </c>
      <c r="AJ104" s="175">
        <f>IF(AN104=0,J104,0)</f>
        <v>0</v>
      </c>
      <c r="AK104" s="175">
        <f>IF(AN104=12,J104,0)</f>
        <v>0</v>
      </c>
      <c r="AL104" s="175">
        <f>IF(AN104=21,J104,0)</f>
        <v>0</v>
      </c>
      <c r="AN104" s="175">
        <v>21</v>
      </c>
      <c r="AO104" s="175">
        <f>G104*0.786632782719187</f>
        <v>0</v>
      </c>
      <c r="AP104" s="175">
        <f>G104*(1-0.786632782719187)</f>
        <v>0</v>
      </c>
      <c r="AQ104" s="177" t="s">
        <v>260</v>
      </c>
      <c r="AV104" s="175">
        <f>AW104+AX104</f>
        <v>0</v>
      </c>
      <c r="AW104" s="175">
        <f>F104*AO104</f>
        <v>0</v>
      </c>
      <c r="AX104" s="175">
        <f>F104*AP104</f>
        <v>0</v>
      </c>
      <c r="AY104" s="177" t="s">
        <v>498</v>
      </c>
      <c r="AZ104" s="177" t="s">
        <v>399</v>
      </c>
      <c r="BA104" s="158" t="s">
        <v>398</v>
      </c>
      <c r="BC104" s="175">
        <f>AW104+AX104</f>
        <v>0</v>
      </c>
      <c r="BD104" s="175">
        <f>G104/(100-BE104)*100</f>
        <v>0</v>
      </c>
      <c r="BE104" s="175">
        <v>0</v>
      </c>
      <c r="BF104" s="175">
        <f>104</f>
        <v>104</v>
      </c>
      <c r="BH104" s="175">
        <f>F104*AO104</f>
        <v>0</v>
      </c>
      <c r="BI104" s="175">
        <f>F104*AP104</f>
        <v>0</v>
      </c>
      <c r="BJ104" s="175">
        <f>F104*G104</f>
        <v>0</v>
      </c>
      <c r="BK104" s="175"/>
      <c r="BL104" s="175">
        <v>91</v>
      </c>
      <c r="BW104" s="175">
        <v>21</v>
      </c>
    </row>
    <row r="105" spans="1:47" ht="15" customHeight="1">
      <c r="A105" s="171" t="s">
        <v>180</v>
      </c>
      <c r="B105" s="172" t="s">
        <v>287</v>
      </c>
      <c r="C105" s="566" t="s">
        <v>288</v>
      </c>
      <c r="D105" s="567"/>
      <c r="E105" s="173" t="s">
        <v>224</v>
      </c>
      <c r="F105" s="173" t="s">
        <v>224</v>
      </c>
      <c r="G105" s="173" t="s">
        <v>224</v>
      </c>
      <c r="H105" s="153">
        <f>SUM(H106:H106)</f>
        <v>0</v>
      </c>
      <c r="I105" s="153">
        <f>SUM(I106:I106)</f>
        <v>0</v>
      </c>
      <c r="J105" s="153">
        <f>SUM(J106:J106)</f>
        <v>0</v>
      </c>
      <c r="K105" s="174" t="s">
        <v>180</v>
      </c>
      <c r="AI105" s="158" t="s">
        <v>396</v>
      </c>
      <c r="AS105" s="153">
        <f>SUM(AJ106:AJ106)</f>
        <v>0</v>
      </c>
      <c r="AT105" s="153">
        <f>SUM(AK106:AK106)</f>
        <v>0</v>
      </c>
      <c r="AU105" s="153">
        <f>SUM(AL106:AL106)</f>
        <v>0</v>
      </c>
    </row>
    <row r="106" spans="1:75" ht="13.5" customHeight="1">
      <c r="A106" s="137" t="s">
        <v>353</v>
      </c>
      <c r="B106" s="138" t="s">
        <v>290</v>
      </c>
      <c r="C106" s="520" t="s">
        <v>291</v>
      </c>
      <c r="D106" s="521"/>
      <c r="E106" s="138" t="s">
        <v>43</v>
      </c>
      <c r="F106" s="175">
        <v>14</v>
      </c>
      <c r="G106" s="175">
        <v>0</v>
      </c>
      <c r="H106" s="175">
        <f>F106*AO106</f>
        <v>0</v>
      </c>
      <c r="I106" s="175">
        <f>F106*AP106</f>
        <v>0</v>
      </c>
      <c r="J106" s="175">
        <f>F106*G106</f>
        <v>0</v>
      </c>
      <c r="K106" s="176" t="s">
        <v>262</v>
      </c>
      <c r="Z106" s="175">
        <f>IF(AQ106="5",BJ106,0)</f>
        <v>0</v>
      </c>
      <c r="AB106" s="175">
        <f>IF(AQ106="1",BH106,0)</f>
        <v>0</v>
      </c>
      <c r="AC106" s="175">
        <f>IF(AQ106="1",BI106,0)</f>
        <v>0</v>
      </c>
      <c r="AD106" s="175">
        <f>IF(AQ106="7",BH106,0)</f>
        <v>0</v>
      </c>
      <c r="AE106" s="175">
        <f>IF(AQ106="7",BI106,0)</f>
        <v>0</v>
      </c>
      <c r="AF106" s="175">
        <f>IF(AQ106="2",BH106,0)</f>
        <v>0</v>
      </c>
      <c r="AG106" s="175">
        <f>IF(AQ106="2",BI106,0)</f>
        <v>0</v>
      </c>
      <c r="AH106" s="175">
        <f>IF(AQ106="0",BJ106,0)</f>
        <v>0</v>
      </c>
      <c r="AI106" s="158" t="s">
        <v>396</v>
      </c>
      <c r="AJ106" s="175">
        <f>IF(AN106=0,J106,0)</f>
        <v>0</v>
      </c>
      <c r="AK106" s="175">
        <f>IF(AN106=12,J106,0)</f>
        <v>0</v>
      </c>
      <c r="AL106" s="175">
        <f>IF(AN106=21,J106,0)</f>
        <v>0</v>
      </c>
      <c r="AN106" s="175">
        <v>21</v>
      </c>
      <c r="AO106" s="175">
        <f>G106*0</f>
        <v>0</v>
      </c>
      <c r="AP106" s="175">
        <f>G106*(1-0)</f>
        <v>0</v>
      </c>
      <c r="AQ106" s="177" t="s">
        <v>270</v>
      </c>
      <c r="AV106" s="175">
        <f>AW106+AX106</f>
        <v>0</v>
      </c>
      <c r="AW106" s="175">
        <f>F106*AO106</f>
        <v>0</v>
      </c>
      <c r="AX106" s="175">
        <f>F106*AP106</f>
        <v>0</v>
      </c>
      <c r="AY106" s="177" t="s">
        <v>292</v>
      </c>
      <c r="AZ106" s="177" t="s">
        <v>399</v>
      </c>
      <c r="BA106" s="158" t="s">
        <v>398</v>
      </c>
      <c r="BC106" s="175">
        <f>AW106+AX106</f>
        <v>0</v>
      </c>
      <c r="BD106" s="175">
        <f>G106/(100-BE106)*100</f>
        <v>0</v>
      </c>
      <c r="BE106" s="175">
        <v>0</v>
      </c>
      <c r="BF106" s="175">
        <f>106</f>
        <v>106</v>
      </c>
      <c r="BH106" s="175">
        <f>F106*AO106</f>
        <v>0</v>
      </c>
      <c r="BI106" s="175">
        <f>F106*AP106</f>
        <v>0</v>
      </c>
      <c r="BJ106" s="175">
        <f>F106*G106</f>
        <v>0</v>
      </c>
      <c r="BK106" s="175"/>
      <c r="BL106" s="175"/>
      <c r="BW106" s="175">
        <v>21</v>
      </c>
    </row>
    <row r="107" spans="1:47" ht="15" customHeight="1">
      <c r="A107" s="171" t="s">
        <v>180</v>
      </c>
      <c r="B107" s="172" t="s">
        <v>180</v>
      </c>
      <c r="C107" s="566" t="s">
        <v>203</v>
      </c>
      <c r="D107" s="567"/>
      <c r="E107" s="173" t="s">
        <v>224</v>
      </c>
      <c r="F107" s="173" t="s">
        <v>224</v>
      </c>
      <c r="G107" s="173" t="s">
        <v>224</v>
      </c>
      <c r="H107" s="153">
        <f>SUM(H108:H109)</f>
        <v>0</v>
      </c>
      <c r="I107" s="153">
        <f>SUM(I108:I109)</f>
        <v>0</v>
      </c>
      <c r="J107" s="153">
        <f>SUM(J108:J109)</f>
        <v>0</v>
      </c>
      <c r="K107" s="174" t="s">
        <v>180</v>
      </c>
      <c r="AI107" s="158" t="s">
        <v>396</v>
      </c>
      <c r="AS107" s="153">
        <f>SUM(AJ108:AJ109)</f>
        <v>0</v>
      </c>
      <c r="AT107" s="153">
        <f>SUM(AK108:AK109)</f>
        <v>0</v>
      </c>
      <c r="AU107" s="153">
        <f>SUM(AL108:AL109)</f>
        <v>0</v>
      </c>
    </row>
    <row r="108" spans="1:75" ht="13.5" customHeight="1">
      <c r="A108" s="137" t="s">
        <v>354</v>
      </c>
      <c r="B108" s="138" t="s">
        <v>499</v>
      </c>
      <c r="C108" s="520" t="s">
        <v>500</v>
      </c>
      <c r="D108" s="521"/>
      <c r="E108" s="138" t="s">
        <v>51</v>
      </c>
      <c r="F108" s="175">
        <v>1</v>
      </c>
      <c r="G108" s="175">
        <v>0</v>
      </c>
      <c r="H108" s="175">
        <f>F108*AO108</f>
        <v>0</v>
      </c>
      <c r="I108" s="175">
        <f>F108*AP108</f>
        <v>0</v>
      </c>
      <c r="J108" s="175">
        <f>F108*G108</f>
        <v>0</v>
      </c>
      <c r="K108" s="176" t="s">
        <v>180</v>
      </c>
      <c r="Z108" s="175">
        <f>IF(AQ108="5",BJ108,0)</f>
        <v>0</v>
      </c>
      <c r="AB108" s="175">
        <f>IF(AQ108="1",BH108,0)</f>
        <v>0</v>
      </c>
      <c r="AC108" s="175">
        <f>IF(AQ108="1",BI108,0)</f>
        <v>0</v>
      </c>
      <c r="AD108" s="175">
        <f>IF(AQ108="7",BH108,0)</f>
        <v>0</v>
      </c>
      <c r="AE108" s="175">
        <f>IF(AQ108="7",BI108,0)</f>
        <v>0</v>
      </c>
      <c r="AF108" s="175">
        <f>IF(AQ108="2",BH108,0)</f>
        <v>0</v>
      </c>
      <c r="AG108" s="175">
        <f>IF(AQ108="2",BI108,0)</f>
        <v>0</v>
      </c>
      <c r="AH108" s="175">
        <f>IF(AQ108="0",BJ108,0)</f>
        <v>0</v>
      </c>
      <c r="AI108" s="158" t="s">
        <v>396</v>
      </c>
      <c r="AJ108" s="175">
        <f>IF(AN108=0,J108,0)</f>
        <v>0</v>
      </c>
      <c r="AK108" s="175">
        <f>IF(AN108=12,J108,0)</f>
        <v>0</v>
      </c>
      <c r="AL108" s="175">
        <f>IF(AN108=21,J108,0)</f>
        <v>0</v>
      </c>
      <c r="AN108" s="175">
        <v>21</v>
      </c>
      <c r="AO108" s="175">
        <f>G108*1</f>
        <v>0</v>
      </c>
      <c r="AP108" s="175">
        <f>G108*(1-1)</f>
        <v>0</v>
      </c>
      <c r="AQ108" s="177" t="s">
        <v>301</v>
      </c>
      <c r="AV108" s="175">
        <f>AW108+AX108</f>
        <v>0</v>
      </c>
      <c r="AW108" s="175">
        <f>F108*AO108</f>
        <v>0</v>
      </c>
      <c r="AX108" s="175">
        <f>F108*AP108</f>
        <v>0</v>
      </c>
      <c r="AY108" s="177" t="s">
        <v>302</v>
      </c>
      <c r="AZ108" s="177" t="s">
        <v>400</v>
      </c>
      <c r="BA108" s="158" t="s">
        <v>398</v>
      </c>
      <c r="BC108" s="175">
        <f>AW108+AX108</f>
        <v>0</v>
      </c>
      <c r="BD108" s="175">
        <f>G108/(100-BE108)*100</f>
        <v>0</v>
      </c>
      <c r="BE108" s="175">
        <v>0</v>
      </c>
      <c r="BF108" s="175">
        <f>108</f>
        <v>108</v>
      </c>
      <c r="BH108" s="175">
        <f>F108*AO108</f>
        <v>0</v>
      </c>
      <c r="BI108" s="175">
        <f>F108*AP108</f>
        <v>0</v>
      </c>
      <c r="BJ108" s="175">
        <f>F108*G108</f>
        <v>0</v>
      </c>
      <c r="BK108" s="175"/>
      <c r="BL108" s="175"/>
      <c r="BW108" s="175">
        <v>21</v>
      </c>
    </row>
    <row r="109" spans="1:75" ht="13.5" customHeight="1">
      <c r="A109" s="137" t="s">
        <v>355</v>
      </c>
      <c r="B109" s="138" t="s">
        <v>501</v>
      </c>
      <c r="C109" s="520" t="s">
        <v>502</v>
      </c>
      <c r="D109" s="521"/>
      <c r="E109" s="138" t="s">
        <v>261</v>
      </c>
      <c r="F109" s="175">
        <v>36</v>
      </c>
      <c r="G109" s="175">
        <v>0</v>
      </c>
      <c r="H109" s="175">
        <f>F109*AO109</f>
        <v>0</v>
      </c>
      <c r="I109" s="175">
        <f>F109*AP109</f>
        <v>0</v>
      </c>
      <c r="J109" s="175">
        <f>F109*G109</f>
        <v>0</v>
      </c>
      <c r="K109" s="176" t="s">
        <v>262</v>
      </c>
      <c r="Z109" s="175">
        <f>IF(AQ109="5",BJ109,0)</f>
        <v>0</v>
      </c>
      <c r="AB109" s="175">
        <f>IF(AQ109="1",BH109,0)</f>
        <v>0</v>
      </c>
      <c r="AC109" s="175">
        <f>IF(AQ109="1",BI109,0)</f>
        <v>0</v>
      </c>
      <c r="AD109" s="175">
        <f>IF(AQ109="7",BH109,0)</f>
        <v>0</v>
      </c>
      <c r="AE109" s="175">
        <f>IF(AQ109="7",BI109,0)</f>
        <v>0</v>
      </c>
      <c r="AF109" s="175">
        <f>IF(AQ109="2",BH109,0)</f>
        <v>0</v>
      </c>
      <c r="AG109" s="175">
        <f>IF(AQ109="2",BI109,0)</f>
        <v>0</v>
      </c>
      <c r="AH109" s="175">
        <f>IF(AQ109="0",BJ109,0)</f>
        <v>0</v>
      </c>
      <c r="AI109" s="158" t="s">
        <v>396</v>
      </c>
      <c r="AJ109" s="175">
        <f>IF(AN109=0,J109,0)</f>
        <v>0</v>
      </c>
      <c r="AK109" s="175">
        <f>IF(AN109=12,J109,0)</f>
        <v>0</v>
      </c>
      <c r="AL109" s="175">
        <f>IF(AN109=21,J109,0)</f>
        <v>0</v>
      </c>
      <c r="AN109" s="175">
        <v>21</v>
      </c>
      <c r="AO109" s="175">
        <f>G109*1</f>
        <v>0</v>
      </c>
      <c r="AP109" s="175">
        <f>G109*(1-1)</f>
        <v>0</v>
      </c>
      <c r="AQ109" s="177" t="s">
        <v>301</v>
      </c>
      <c r="AV109" s="175">
        <f>AW109+AX109</f>
        <v>0</v>
      </c>
      <c r="AW109" s="175">
        <f>F109*AO109</f>
        <v>0</v>
      </c>
      <c r="AX109" s="175">
        <f>F109*AP109</f>
        <v>0</v>
      </c>
      <c r="AY109" s="177" t="s">
        <v>302</v>
      </c>
      <c r="AZ109" s="177" t="s">
        <v>400</v>
      </c>
      <c r="BA109" s="158" t="s">
        <v>398</v>
      </c>
      <c r="BC109" s="175">
        <f>AW109+AX109</f>
        <v>0</v>
      </c>
      <c r="BD109" s="175">
        <f>G109/(100-BE109)*100</f>
        <v>0</v>
      </c>
      <c r="BE109" s="175">
        <v>0</v>
      </c>
      <c r="BF109" s="175">
        <f>109</f>
        <v>109</v>
      </c>
      <c r="BH109" s="175">
        <f>F109*AO109</f>
        <v>0</v>
      </c>
      <c r="BI109" s="175">
        <f>F109*AP109</f>
        <v>0</v>
      </c>
      <c r="BJ109" s="175">
        <f>F109*G109</f>
        <v>0</v>
      </c>
      <c r="BK109" s="175"/>
      <c r="BL109" s="175"/>
      <c r="BW109" s="175">
        <v>21</v>
      </c>
    </row>
    <row r="110" spans="1:11" ht="13.5" customHeight="1">
      <c r="A110" s="180"/>
      <c r="B110" s="181" t="s">
        <v>220</v>
      </c>
      <c r="C110" s="568" t="s">
        <v>503</v>
      </c>
      <c r="D110" s="569"/>
      <c r="E110" s="569"/>
      <c r="F110" s="569"/>
      <c r="G110" s="569"/>
      <c r="H110" s="569"/>
      <c r="I110" s="569"/>
      <c r="J110" s="569"/>
      <c r="K110" s="570"/>
    </row>
    <row r="111" spans="8:10" ht="15" customHeight="1">
      <c r="H111" s="563" t="s">
        <v>401</v>
      </c>
      <c r="I111" s="563"/>
      <c r="J111" s="182">
        <f>J13+J15+J17+J21+J24+J26+J31+J34+J40+J44+J49+J52+J54+J59+J61+J67+J72+J76+J78+J82+J84+J96+J101+J103+J105+J107</f>
        <v>0</v>
      </c>
    </row>
    <row r="112" ht="15" customHeight="1">
      <c r="A112" s="152" t="s">
        <v>220</v>
      </c>
    </row>
    <row r="113" spans="1:11" ht="12.75" customHeight="1">
      <c r="A113" s="520" t="s">
        <v>180</v>
      </c>
      <c r="B113" s="521"/>
      <c r="C113" s="521"/>
      <c r="D113" s="521"/>
      <c r="E113" s="521"/>
      <c r="F113" s="521"/>
      <c r="G113" s="521"/>
      <c r="H113" s="521"/>
      <c r="I113" s="521"/>
      <c r="J113" s="521"/>
      <c r="K113" s="521"/>
    </row>
  </sheetData>
  <mergeCells count="129">
    <mergeCell ref="A1:K1"/>
    <mergeCell ref="A2:B3"/>
    <mergeCell ref="C2:D3"/>
    <mergeCell ref="E2:F3"/>
    <mergeCell ref="G2:G3"/>
    <mergeCell ref="H2:H3"/>
    <mergeCell ref="I2:K3"/>
    <mergeCell ref="A6:B7"/>
    <mergeCell ref="C6:D7"/>
    <mergeCell ref="E6:F7"/>
    <mergeCell ref="G6:G7"/>
    <mergeCell ref="H6:H7"/>
    <mergeCell ref="I6:K7"/>
    <mergeCell ref="A4:B5"/>
    <mergeCell ref="C4:D5"/>
    <mergeCell ref="E4:F5"/>
    <mergeCell ref="G4:G5"/>
    <mergeCell ref="H4:H5"/>
    <mergeCell ref="I4:K5"/>
    <mergeCell ref="C10:D10"/>
    <mergeCell ref="H10:J10"/>
    <mergeCell ref="C11:D11"/>
    <mergeCell ref="C12:D12"/>
    <mergeCell ref="C13:D13"/>
    <mergeCell ref="C14:D14"/>
    <mergeCell ref="A8:B9"/>
    <mergeCell ref="C8:D9"/>
    <mergeCell ref="E8:F9"/>
    <mergeCell ref="G8:G9"/>
    <mergeCell ref="H8:H9"/>
    <mergeCell ref="I8:K9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33:D33"/>
    <mergeCell ref="C34:D34"/>
    <mergeCell ref="C35:D35"/>
    <mergeCell ref="C36:D36"/>
    <mergeCell ref="C37:D37"/>
    <mergeCell ref="C38:K38"/>
    <mergeCell ref="C27:D27"/>
    <mergeCell ref="C28:K28"/>
    <mergeCell ref="C29:D29"/>
    <mergeCell ref="C30:D30"/>
    <mergeCell ref="C31:D31"/>
    <mergeCell ref="C32:D32"/>
    <mergeCell ref="C45:D45"/>
    <mergeCell ref="C46:D46"/>
    <mergeCell ref="C47:K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K57"/>
    <mergeCell ref="C58:D58"/>
    <mergeCell ref="C59:D59"/>
    <mergeCell ref="C60:D60"/>
    <mergeCell ref="C61:D61"/>
    <mergeCell ref="C62:D62"/>
    <mergeCell ref="C51:K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K63"/>
    <mergeCell ref="C64:D64"/>
    <mergeCell ref="C65:D65"/>
    <mergeCell ref="C66:D66"/>
    <mergeCell ref="C67:D67"/>
    <mergeCell ref="C68:D68"/>
    <mergeCell ref="C81:K81"/>
    <mergeCell ref="C82:D82"/>
    <mergeCell ref="C83:D83"/>
    <mergeCell ref="C84:D84"/>
    <mergeCell ref="C85:D85"/>
    <mergeCell ref="C86:D86"/>
    <mergeCell ref="C75:K75"/>
    <mergeCell ref="C76:D76"/>
    <mergeCell ref="C77:D77"/>
    <mergeCell ref="C78:D78"/>
    <mergeCell ref="C79:D79"/>
    <mergeCell ref="C80:D80"/>
    <mergeCell ref="C93:D93"/>
    <mergeCell ref="C94:K94"/>
    <mergeCell ref="C95:D95"/>
    <mergeCell ref="C96:D96"/>
    <mergeCell ref="C97:D97"/>
    <mergeCell ref="C98:K98"/>
    <mergeCell ref="C87:D87"/>
    <mergeCell ref="C88:D88"/>
    <mergeCell ref="C89:D89"/>
    <mergeCell ref="C90:K90"/>
    <mergeCell ref="C91:D91"/>
    <mergeCell ref="C92:D92"/>
    <mergeCell ref="H111:I111"/>
    <mergeCell ref="A113:K113"/>
    <mergeCell ref="C105:D105"/>
    <mergeCell ref="C106:D106"/>
    <mergeCell ref="C107:D107"/>
    <mergeCell ref="C108:D108"/>
    <mergeCell ref="C109:D109"/>
    <mergeCell ref="C110:K110"/>
    <mergeCell ref="C99:D99"/>
    <mergeCell ref="C100:D100"/>
    <mergeCell ref="C101:D101"/>
    <mergeCell ref="C102:D102"/>
    <mergeCell ref="C103:D103"/>
    <mergeCell ref="C104:D104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BB6D-0F00-4DD6-9967-99600D339D69}">
  <sheetPr>
    <pageSetUpPr fitToPage="1"/>
  </sheetPr>
  <dimension ref="A1:CM60"/>
  <sheetViews>
    <sheetView showGridLines="0" workbookViewId="0" topLeftCell="A29">
      <selection activeCell="AI35" sqref="AI35"/>
    </sheetView>
  </sheetViews>
  <sheetFormatPr defaultColWidth="9.140625" defaultRowHeight="15"/>
  <cols>
    <col min="1" max="1" width="7.140625" style="184" customWidth="1"/>
    <col min="2" max="2" width="1.421875" style="184" customWidth="1"/>
    <col min="3" max="3" width="3.57421875" style="184" customWidth="1"/>
    <col min="4" max="33" width="2.28125" style="184" customWidth="1"/>
    <col min="34" max="34" width="2.8515625" style="184" customWidth="1"/>
    <col min="35" max="35" width="27.140625" style="184" customWidth="1"/>
    <col min="36" max="37" width="2.140625" style="184" customWidth="1"/>
    <col min="38" max="38" width="7.140625" style="184" customWidth="1"/>
    <col min="39" max="39" width="2.8515625" style="184" customWidth="1"/>
    <col min="40" max="40" width="11.421875" style="184" customWidth="1"/>
    <col min="41" max="41" width="6.421875" style="184" customWidth="1"/>
    <col min="42" max="42" width="3.57421875" style="184" customWidth="1"/>
    <col min="43" max="43" width="13.421875" style="184" customWidth="1"/>
    <col min="44" max="44" width="11.7109375" style="184" customWidth="1"/>
    <col min="45" max="47" width="22.140625" style="184" hidden="1" customWidth="1"/>
    <col min="48" max="49" width="18.57421875" style="184" hidden="1" customWidth="1"/>
    <col min="50" max="51" width="21.421875" style="184" hidden="1" customWidth="1"/>
    <col min="52" max="52" width="18.57421875" style="184" hidden="1" customWidth="1"/>
    <col min="53" max="53" width="16.421875" style="184" hidden="1" customWidth="1"/>
    <col min="54" max="54" width="21.421875" style="184" hidden="1" customWidth="1"/>
    <col min="55" max="55" width="18.57421875" style="184" hidden="1" customWidth="1"/>
    <col min="56" max="56" width="16.421875" style="184" hidden="1" customWidth="1"/>
    <col min="57" max="57" width="57.00390625" style="184" customWidth="1"/>
    <col min="58" max="16384" width="9.140625" style="184" customWidth="1"/>
  </cols>
  <sheetData>
    <row r="1" spans="1:74" ht="12">
      <c r="A1" s="183" t="s">
        <v>507</v>
      </c>
      <c r="AZ1" s="183" t="s">
        <v>508</v>
      </c>
      <c r="BA1" s="183" t="s">
        <v>509</v>
      </c>
      <c r="BB1" s="183" t="s">
        <v>510</v>
      </c>
      <c r="BT1" s="183" t="s">
        <v>511</v>
      </c>
      <c r="BU1" s="183" t="s">
        <v>511</v>
      </c>
      <c r="BV1" s="183" t="s">
        <v>512</v>
      </c>
    </row>
    <row r="2" spans="44:72" ht="36.95" customHeight="1"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  <c r="BC2" s="583"/>
      <c r="BD2" s="583"/>
      <c r="BE2" s="583"/>
      <c r="BS2" s="185" t="s">
        <v>513</v>
      </c>
      <c r="BT2" s="185" t="s">
        <v>296</v>
      </c>
    </row>
    <row r="3" spans="2:72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8"/>
      <c r="BS3" s="185" t="s">
        <v>513</v>
      </c>
      <c r="BT3" s="185" t="s">
        <v>282</v>
      </c>
    </row>
    <row r="4" spans="2:71" ht="24.95" customHeight="1">
      <c r="B4" s="188"/>
      <c r="D4" s="189" t="s">
        <v>514</v>
      </c>
      <c r="AR4" s="188"/>
      <c r="AS4" s="190" t="s">
        <v>515</v>
      </c>
      <c r="BE4" s="191" t="s">
        <v>516</v>
      </c>
      <c r="BS4" s="185" t="s">
        <v>517</v>
      </c>
    </row>
    <row r="5" spans="2:71" ht="12" customHeight="1">
      <c r="B5" s="188"/>
      <c r="D5" s="192" t="s">
        <v>518</v>
      </c>
      <c r="K5" s="584" t="s">
        <v>519</v>
      </c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R5" s="188"/>
      <c r="BE5" s="585" t="s">
        <v>520</v>
      </c>
      <c r="BS5" s="185" t="s">
        <v>513</v>
      </c>
    </row>
    <row r="6" spans="2:71" ht="36.95" customHeight="1">
      <c r="B6" s="188"/>
      <c r="D6" s="194" t="s">
        <v>521</v>
      </c>
      <c r="K6" s="588" t="s">
        <v>522</v>
      </c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R6" s="188"/>
      <c r="BE6" s="586"/>
      <c r="BS6" s="185" t="s">
        <v>513</v>
      </c>
    </row>
    <row r="7" spans="2:71" ht="12" customHeight="1">
      <c r="B7" s="188"/>
      <c r="D7" s="195" t="s">
        <v>523</v>
      </c>
      <c r="K7" s="193" t="s">
        <v>180</v>
      </c>
      <c r="AK7" s="195" t="s">
        <v>524</v>
      </c>
      <c r="AN7" s="193" t="s">
        <v>180</v>
      </c>
      <c r="AR7" s="188"/>
      <c r="BE7" s="586"/>
      <c r="BS7" s="185" t="s">
        <v>513</v>
      </c>
    </row>
    <row r="8" spans="2:71" ht="12" customHeight="1">
      <c r="B8" s="188"/>
      <c r="D8" s="195" t="s">
        <v>525</v>
      </c>
      <c r="K8" s="193" t="s">
        <v>226</v>
      </c>
      <c r="AK8" s="195" t="s">
        <v>4</v>
      </c>
      <c r="AN8" s="196" t="s">
        <v>1241</v>
      </c>
      <c r="AR8" s="188"/>
      <c r="BE8" s="586"/>
      <c r="BS8" s="185" t="s">
        <v>513</v>
      </c>
    </row>
    <row r="9" spans="2:71" ht="14.45" customHeight="1">
      <c r="B9" s="188"/>
      <c r="AR9" s="188"/>
      <c r="BE9" s="586"/>
      <c r="BS9" s="185" t="s">
        <v>513</v>
      </c>
    </row>
    <row r="10" spans="2:71" ht="12" customHeight="1">
      <c r="B10" s="188"/>
      <c r="D10" s="195" t="s">
        <v>526</v>
      </c>
      <c r="AK10" s="195" t="s">
        <v>527</v>
      </c>
      <c r="AN10" s="193" t="s">
        <v>180</v>
      </c>
      <c r="AR10" s="188"/>
      <c r="BE10" s="586"/>
      <c r="BS10" s="185" t="s">
        <v>513</v>
      </c>
    </row>
    <row r="11" spans="2:71" ht="18.4" customHeight="1">
      <c r="B11" s="188"/>
      <c r="E11" s="193" t="s">
        <v>7</v>
      </c>
      <c r="AK11" s="195" t="s">
        <v>528</v>
      </c>
      <c r="AN11" s="193" t="s">
        <v>180</v>
      </c>
      <c r="AR11" s="188"/>
      <c r="BE11" s="586"/>
      <c r="BS11" s="185" t="s">
        <v>513</v>
      </c>
    </row>
    <row r="12" spans="2:71" ht="6.95" customHeight="1">
      <c r="B12" s="188"/>
      <c r="AR12" s="188"/>
      <c r="BE12" s="586"/>
      <c r="BS12" s="185" t="s">
        <v>513</v>
      </c>
    </row>
    <row r="13" spans="2:71" ht="12" customHeight="1">
      <c r="B13" s="188"/>
      <c r="D13" s="195" t="s">
        <v>529</v>
      </c>
      <c r="AK13" s="195" t="s">
        <v>527</v>
      </c>
      <c r="AN13" s="197" t="s">
        <v>530</v>
      </c>
      <c r="AR13" s="188"/>
      <c r="BE13" s="586"/>
      <c r="BS13" s="185" t="s">
        <v>513</v>
      </c>
    </row>
    <row r="14" spans="2:71" ht="12.75">
      <c r="B14" s="188"/>
      <c r="E14" s="589" t="s">
        <v>530</v>
      </c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195" t="s">
        <v>528</v>
      </c>
      <c r="AN14" s="197" t="s">
        <v>530</v>
      </c>
      <c r="AR14" s="188"/>
      <c r="BE14" s="586"/>
      <c r="BS14" s="185" t="s">
        <v>513</v>
      </c>
    </row>
    <row r="15" spans="2:71" ht="6.95" customHeight="1">
      <c r="B15" s="188"/>
      <c r="AR15" s="188"/>
      <c r="BE15" s="586"/>
      <c r="BS15" s="185" t="s">
        <v>511</v>
      </c>
    </row>
    <row r="16" spans="2:71" ht="12" customHeight="1">
      <c r="B16" s="188"/>
      <c r="D16" s="195" t="s">
        <v>182</v>
      </c>
      <c r="AK16" s="195" t="s">
        <v>527</v>
      </c>
      <c r="AN16" s="193" t="s">
        <v>180</v>
      </c>
      <c r="AR16" s="188"/>
      <c r="BE16" s="586"/>
      <c r="BS16" s="185" t="s">
        <v>511</v>
      </c>
    </row>
    <row r="17" spans="2:71" ht="18.4" customHeight="1">
      <c r="B17" s="188"/>
      <c r="E17" s="193" t="s">
        <v>224</v>
      </c>
      <c r="AK17" s="195" t="s">
        <v>528</v>
      </c>
      <c r="AN17" s="193" t="s">
        <v>180</v>
      </c>
      <c r="AR17" s="188"/>
      <c r="BE17" s="586"/>
      <c r="BS17" s="185" t="s">
        <v>531</v>
      </c>
    </row>
    <row r="18" spans="2:71" ht="6.95" customHeight="1">
      <c r="B18" s="188"/>
      <c r="AR18" s="188"/>
      <c r="BE18" s="586"/>
      <c r="BS18" s="185" t="s">
        <v>513</v>
      </c>
    </row>
    <row r="19" spans="2:71" ht="12" customHeight="1">
      <c r="B19" s="188"/>
      <c r="D19" s="195" t="s">
        <v>532</v>
      </c>
      <c r="AK19" s="195" t="s">
        <v>527</v>
      </c>
      <c r="AN19" s="193" t="s">
        <v>180</v>
      </c>
      <c r="AR19" s="188"/>
      <c r="BE19" s="586"/>
      <c r="BS19" s="185" t="s">
        <v>513</v>
      </c>
    </row>
    <row r="20" spans="2:71" ht="18.4" customHeight="1">
      <c r="B20" s="188"/>
      <c r="E20" s="193" t="s">
        <v>224</v>
      </c>
      <c r="AK20" s="195" t="s">
        <v>528</v>
      </c>
      <c r="AN20" s="193" t="s">
        <v>180</v>
      </c>
      <c r="AR20" s="188"/>
      <c r="BE20" s="586"/>
      <c r="BS20" s="185" t="s">
        <v>531</v>
      </c>
    </row>
    <row r="21" spans="2:57" ht="6.95" customHeight="1">
      <c r="B21" s="188"/>
      <c r="AR21" s="188"/>
      <c r="BE21" s="586"/>
    </row>
    <row r="22" spans="2:57" ht="12" customHeight="1">
      <c r="B22" s="188"/>
      <c r="D22" s="195" t="s">
        <v>220</v>
      </c>
      <c r="AR22" s="188"/>
      <c r="BE22" s="586"/>
    </row>
    <row r="23" spans="2:57" ht="47.25" customHeight="1">
      <c r="B23" s="188"/>
      <c r="E23" s="591" t="s">
        <v>533</v>
      </c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R23" s="188"/>
      <c r="BE23" s="586"/>
    </row>
    <row r="24" spans="2:57" ht="6.95" customHeight="1">
      <c r="B24" s="188"/>
      <c r="AR24" s="188"/>
      <c r="BE24" s="586"/>
    </row>
    <row r="25" spans="2:57" ht="6.95" customHeight="1">
      <c r="B25" s="18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R25" s="188"/>
      <c r="BE25" s="586"/>
    </row>
    <row r="26" spans="2:57" s="200" customFormat="1" ht="25.9" customHeight="1">
      <c r="B26" s="201"/>
      <c r="D26" s="202" t="s">
        <v>534</v>
      </c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592">
        <f>ROUND(AG54,2)</f>
        <v>0</v>
      </c>
      <c r="AL26" s="593"/>
      <c r="AM26" s="593"/>
      <c r="AN26" s="593"/>
      <c r="AO26" s="593"/>
      <c r="AR26" s="201"/>
      <c r="BE26" s="586"/>
    </row>
    <row r="27" spans="2:57" s="200" customFormat="1" ht="6.95" customHeight="1">
      <c r="B27" s="201"/>
      <c r="AR27" s="201"/>
      <c r="BE27" s="586"/>
    </row>
    <row r="28" spans="2:57" s="200" customFormat="1" ht="12.75">
      <c r="B28" s="201"/>
      <c r="L28" s="594" t="s">
        <v>535</v>
      </c>
      <c r="M28" s="594"/>
      <c r="N28" s="594"/>
      <c r="O28" s="594"/>
      <c r="P28" s="594"/>
      <c r="W28" s="594" t="s">
        <v>536</v>
      </c>
      <c r="X28" s="594"/>
      <c r="Y28" s="594"/>
      <c r="Z28" s="594"/>
      <c r="AA28" s="594"/>
      <c r="AB28" s="594"/>
      <c r="AC28" s="594"/>
      <c r="AD28" s="594"/>
      <c r="AE28" s="594"/>
      <c r="AK28" s="594" t="s">
        <v>537</v>
      </c>
      <c r="AL28" s="594"/>
      <c r="AM28" s="594"/>
      <c r="AN28" s="594"/>
      <c r="AO28" s="594"/>
      <c r="AR28" s="201"/>
      <c r="BE28" s="586"/>
    </row>
    <row r="29" spans="2:57" s="205" customFormat="1" ht="14.45" customHeight="1">
      <c r="B29" s="206"/>
      <c r="D29" s="195" t="s">
        <v>538</v>
      </c>
      <c r="F29" s="195" t="s">
        <v>539</v>
      </c>
      <c r="L29" s="595">
        <v>0.21</v>
      </c>
      <c r="M29" s="596"/>
      <c r="N29" s="596"/>
      <c r="O29" s="596"/>
      <c r="P29" s="596"/>
      <c r="W29" s="597">
        <f>ROUND(AZ54,2)</f>
        <v>0</v>
      </c>
      <c r="X29" s="596"/>
      <c r="Y29" s="596"/>
      <c r="Z29" s="596"/>
      <c r="AA29" s="596"/>
      <c r="AB29" s="596"/>
      <c r="AC29" s="596"/>
      <c r="AD29" s="596"/>
      <c r="AE29" s="596"/>
      <c r="AK29" s="597">
        <f>ROUND(AV54,2)</f>
        <v>0</v>
      </c>
      <c r="AL29" s="596"/>
      <c r="AM29" s="596"/>
      <c r="AN29" s="596"/>
      <c r="AO29" s="596"/>
      <c r="AR29" s="206"/>
      <c r="BE29" s="587"/>
    </row>
    <row r="30" spans="2:57" s="205" customFormat="1" ht="14.45" customHeight="1">
      <c r="B30" s="206"/>
      <c r="F30" s="195" t="s">
        <v>540</v>
      </c>
      <c r="L30" s="595">
        <v>0.15</v>
      </c>
      <c r="M30" s="596"/>
      <c r="N30" s="596"/>
      <c r="O30" s="596"/>
      <c r="P30" s="596"/>
      <c r="W30" s="597">
        <f>ROUND(BA54,2)</f>
        <v>0</v>
      </c>
      <c r="X30" s="596"/>
      <c r="Y30" s="596"/>
      <c r="Z30" s="596"/>
      <c r="AA30" s="596"/>
      <c r="AB30" s="596"/>
      <c r="AC30" s="596"/>
      <c r="AD30" s="596"/>
      <c r="AE30" s="596"/>
      <c r="AK30" s="597">
        <f>ROUND(AW54,2)</f>
        <v>0</v>
      </c>
      <c r="AL30" s="596"/>
      <c r="AM30" s="596"/>
      <c r="AN30" s="596"/>
      <c r="AO30" s="596"/>
      <c r="AR30" s="206"/>
      <c r="BE30" s="587"/>
    </row>
    <row r="31" spans="2:57" s="205" customFormat="1" ht="14.45" customHeight="1" hidden="1">
      <c r="B31" s="206"/>
      <c r="F31" s="195" t="s">
        <v>541</v>
      </c>
      <c r="L31" s="595">
        <v>0.21</v>
      </c>
      <c r="M31" s="596"/>
      <c r="N31" s="596"/>
      <c r="O31" s="596"/>
      <c r="P31" s="596"/>
      <c r="W31" s="597">
        <f>ROUND(BB54,2)</f>
        <v>0</v>
      </c>
      <c r="X31" s="596"/>
      <c r="Y31" s="596"/>
      <c r="Z31" s="596"/>
      <c r="AA31" s="596"/>
      <c r="AB31" s="596"/>
      <c r="AC31" s="596"/>
      <c r="AD31" s="596"/>
      <c r="AE31" s="596"/>
      <c r="AK31" s="597">
        <v>0</v>
      </c>
      <c r="AL31" s="596"/>
      <c r="AM31" s="596"/>
      <c r="AN31" s="596"/>
      <c r="AO31" s="596"/>
      <c r="AR31" s="206"/>
      <c r="BE31" s="587"/>
    </row>
    <row r="32" spans="2:57" s="205" customFormat="1" ht="14.45" customHeight="1" hidden="1">
      <c r="B32" s="206"/>
      <c r="F32" s="195" t="s">
        <v>542</v>
      </c>
      <c r="L32" s="595">
        <v>0.15</v>
      </c>
      <c r="M32" s="596"/>
      <c r="N32" s="596"/>
      <c r="O32" s="596"/>
      <c r="P32" s="596"/>
      <c r="W32" s="597">
        <f>ROUND(BC54,2)</f>
        <v>0</v>
      </c>
      <c r="X32" s="596"/>
      <c r="Y32" s="596"/>
      <c r="Z32" s="596"/>
      <c r="AA32" s="596"/>
      <c r="AB32" s="596"/>
      <c r="AC32" s="596"/>
      <c r="AD32" s="596"/>
      <c r="AE32" s="596"/>
      <c r="AK32" s="597">
        <v>0</v>
      </c>
      <c r="AL32" s="596"/>
      <c r="AM32" s="596"/>
      <c r="AN32" s="596"/>
      <c r="AO32" s="596"/>
      <c r="AR32" s="206"/>
      <c r="BE32" s="587"/>
    </row>
    <row r="33" spans="2:44" s="205" customFormat="1" ht="14.45" customHeight="1" hidden="1">
      <c r="B33" s="206"/>
      <c r="F33" s="195" t="s">
        <v>543</v>
      </c>
      <c r="L33" s="595">
        <v>0</v>
      </c>
      <c r="M33" s="596"/>
      <c r="N33" s="596"/>
      <c r="O33" s="596"/>
      <c r="P33" s="596"/>
      <c r="W33" s="597">
        <f>ROUND(BD54,2)</f>
        <v>0</v>
      </c>
      <c r="X33" s="596"/>
      <c r="Y33" s="596"/>
      <c r="Z33" s="596"/>
      <c r="AA33" s="596"/>
      <c r="AB33" s="596"/>
      <c r="AC33" s="596"/>
      <c r="AD33" s="596"/>
      <c r="AE33" s="596"/>
      <c r="AK33" s="597">
        <v>0</v>
      </c>
      <c r="AL33" s="596"/>
      <c r="AM33" s="596"/>
      <c r="AN33" s="596"/>
      <c r="AO33" s="596"/>
      <c r="AR33" s="206"/>
    </row>
    <row r="34" spans="2:44" s="200" customFormat="1" ht="6.95" customHeight="1">
      <c r="B34" s="201"/>
      <c r="AR34" s="201"/>
    </row>
    <row r="35" spans="2:44" s="200" customFormat="1" ht="25.9" customHeight="1">
      <c r="B35" s="201"/>
      <c r="C35" s="207"/>
      <c r="D35" s="208" t="s">
        <v>544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 t="s">
        <v>545</v>
      </c>
      <c r="U35" s="209"/>
      <c r="V35" s="209"/>
      <c r="W35" s="209"/>
      <c r="X35" s="600" t="s">
        <v>546</v>
      </c>
      <c r="Y35" s="601"/>
      <c r="Z35" s="601"/>
      <c r="AA35" s="601"/>
      <c r="AB35" s="601"/>
      <c r="AC35" s="209"/>
      <c r="AD35" s="209"/>
      <c r="AE35" s="209"/>
      <c r="AF35" s="209"/>
      <c r="AG35" s="209"/>
      <c r="AH35" s="209"/>
      <c r="AI35" s="209"/>
      <c r="AJ35" s="209"/>
      <c r="AK35" s="602">
        <f>SUM(AK26:AK33)</f>
        <v>0</v>
      </c>
      <c r="AL35" s="601"/>
      <c r="AM35" s="601"/>
      <c r="AN35" s="601"/>
      <c r="AO35" s="603"/>
      <c r="AP35" s="207"/>
      <c r="AQ35" s="207"/>
      <c r="AR35" s="201"/>
    </row>
    <row r="36" spans="2:44" s="200" customFormat="1" ht="6.95" customHeight="1">
      <c r="B36" s="201"/>
      <c r="AR36" s="201"/>
    </row>
    <row r="37" spans="2:44" s="200" customFormat="1" ht="6.9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01"/>
    </row>
    <row r="41" spans="2:44" s="200" customFormat="1" ht="6.95" customHeight="1"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01"/>
    </row>
    <row r="42" spans="2:44" s="200" customFormat="1" ht="24.95" customHeight="1">
      <c r="B42" s="201"/>
      <c r="C42" s="189" t="s">
        <v>547</v>
      </c>
      <c r="AR42" s="201"/>
    </row>
    <row r="43" spans="2:44" s="200" customFormat="1" ht="6.95" customHeight="1">
      <c r="B43" s="201"/>
      <c r="AR43" s="201"/>
    </row>
    <row r="44" spans="2:44" s="215" customFormat="1" ht="12" customHeight="1">
      <c r="B44" s="216"/>
      <c r="C44" s="195" t="s">
        <v>518</v>
      </c>
      <c r="L44" s="215" t="str">
        <f>K5</f>
        <v>VD00323</v>
      </c>
      <c r="AR44" s="216"/>
    </row>
    <row r="45" spans="2:44" s="217" customFormat="1" ht="36.95" customHeight="1">
      <c r="B45" s="218"/>
      <c r="C45" s="219" t="s">
        <v>521</v>
      </c>
      <c r="L45" s="598" t="str">
        <f>K6</f>
        <v>Karlovy Vary, Sady Karla IV – revitalizace veřejného prostranství</v>
      </c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R45" s="218"/>
    </row>
    <row r="46" spans="2:44" s="200" customFormat="1" ht="6.95" customHeight="1">
      <c r="B46" s="201"/>
      <c r="AR46" s="201"/>
    </row>
    <row r="47" spans="2:44" s="200" customFormat="1" ht="12" customHeight="1">
      <c r="B47" s="201"/>
      <c r="C47" s="195" t="s">
        <v>525</v>
      </c>
      <c r="L47" s="220" t="str">
        <f>IF(K8="","",K8)</f>
        <v>Karlovy Vary</v>
      </c>
      <c r="AI47" s="195" t="s">
        <v>4</v>
      </c>
      <c r="AM47" s="604" t="str">
        <f>IF(AN8="","",AN8)</f>
        <v>18. 12. 2023</v>
      </c>
      <c r="AN47" s="604"/>
      <c r="AR47" s="201"/>
    </row>
    <row r="48" spans="2:44" s="200" customFormat="1" ht="6.95" customHeight="1">
      <c r="B48" s="201"/>
      <c r="AR48" s="201"/>
    </row>
    <row r="49" spans="2:56" s="200" customFormat="1" ht="15.2" customHeight="1">
      <c r="B49" s="201"/>
      <c r="C49" s="195" t="s">
        <v>526</v>
      </c>
      <c r="L49" s="215" t="str">
        <f>IF(E11="","",E11)</f>
        <v>Statutární město Karlovy Vary</v>
      </c>
      <c r="AI49" s="195" t="s">
        <v>182</v>
      </c>
      <c r="AM49" s="605" t="str">
        <f>IF(E17="","",E17)</f>
        <v xml:space="preserve"> </v>
      </c>
      <c r="AN49" s="606"/>
      <c r="AO49" s="606"/>
      <c r="AP49" s="606"/>
      <c r="AR49" s="201"/>
      <c r="AS49" s="607" t="s">
        <v>548</v>
      </c>
      <c r="AT49" s="608"/>
      <c r="AU49" s="222"/>
      <c r="AV49" s="222"/>
      <c r="AW49" s="222"/>
      <c r="AX49" s="222"/>
      <c r="AY49" s="222"/>
      <c r="AZ49" s="222"/>
      <c r="BA49" s="222"/>
      <c r="BB49" s="222"/>
      <c r="BC49" s="222"/>
      <c r="BD49" s="223"/>
    </row>
    <row r="50" spans="2:56" s="200" customFormat="1" ht="15.2" customHeight="1">
      <c r="B50" s="201"/>
      <c r="C50" s="195" t="s">
        <v>529</v>
      </c>
      <c r="L50" s="215" t="str">
        <f>IF(E14="Vyplň údaj","",E14)</f>
        <v/>
      </c>
      <c r="AI50" s="195" t="s">
        <v>532</v>
      </c>
      <c r="AM50" s="605" t="str">
        <f>IF(E20="","",E20)</f>
        <v xml:space="preserve"> </v>
      </c>
      <c r="AN50" s="606"/>
      <c r="AO50" s="606"/>
      <c r="AP50" s="606"/>
      <c r="AR50" s="201"/>
      <c r="AS50" s="609"/>
      <c r="AT50" s="610"/>
      <c r="BD50" s="225"/>
    </row>
    <row r="51" spans="2:56" s="200" customFormat="1" ht="10.9" customHeight="1">
      <c r="B51" s="201"/>
      <c r="AR51" s="201"/>
      <c r="AS51" s="609"/>
      <c r="AT51" s="610"/>
      <c r="BD51" s="225"/>
    </row>
    <row r="52" spans="2:56" s="200" customFormat="1" ht="29.25" customHeight="1">
      <c r="B52" s="201"/>
      <c r="C52" s="611" t="s">
        <v>23</v>
      </c>
      <c r="D52" s="612"/>
      <c r="E52" s="612"/>
      <c r="F52" s="612"/>
      <c r="G52" s="612"/>
      <c r="H52" s="226"/>
      <c r="I52" s="613" t="s">
        <v>24</v>
      </c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4" t="s">
        <v>549</v>
      </c>
      <c r="AH52" s="612"/>
      <c r="AI52" s="612"/>
      <c r="AJ52" s="612"/>
      <c r="AK52" s="612"/>
      <c r="AL52" s="612"/>
      <c r="AM52" s="612"/>
      <c r="AN52" s="613" t="s">
        <v>550</v>
      </c>
      <c r="AO52" s="612"/>
      <c r="AP52" s="612"/>
      <c r="AQ52" s="227" t="s">
        <v>551</v>
      </c>
      <c r="AR52" s="201"/>
      <c r="AS52" s="228" t="s">
        <v>552</v>
      </c>
      <c r="AT52" s="229" t="s">
        <v>553</v>
      </c>
      <c r="AU52" s="229" t="s">
        <v>554</v>
      </c>
      <c r="AV52" s="229" t="s">
        <v>555</v>
      </c>
      <c r="AW52" s="229" t="s">
        <v>556</v>
      </c>
      <c r="AX52" s="229" t="s">
        <v>557</v>
      </c>
      <c r="AY52" s="229" t="s">
        <v>558</v>
      </c>
      <c r="AZ52" s="229" t="s">
        <v>559</v>
      </c>
      <c r="BA52" s="229" t="s">
        <v>560</v>
      </c>
      <c r="BB52" s="229" t="s">
        <v>561</v>
      </c>
      <c r="BC52" s="229" t="s">
        <v>562</v>
      </c>
      <c r="BD52" s="230" t="s">
        <v>563</v>
      </c>
    </row>
    <row r="53" spans="2:56" s="200" customFormat="1" ht="10.9" customHeight="1">
      <c r="B53" s="201"/>
      <c r="AR53" s="201"/>
      <c r="AS53" s="231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3"/>
    </row>
    <row r="54" spans="2:90" s="232" customFormat="1" ht="32.45" customHeight="1">
      <c r="B54" s="233"/>
      <c r="C54" s="234" t="s">
        <v>564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615">
        <f>ROUND(AG55+AG57,2)</f>
        <v>0</v>
      </c>
      <c r="AH54" s="615"/>
      <c r="AI54" s="615"/>
      <c r="AJ54" s="615"/>
      <c r="AK54" s="615"/>
      <c r="AL54" s="615"/>
      <c r="AM54" s="615"/>
      <c r="AN54" s="616">
        <f>SUM(AG54,AT54)</f>
        <v>0</v>
      </c>
      <c r="AO54" s="616"/>
      <c r="AP54" s="616"/>
      <c r="AQ54" s="237" t="s">
        <v>180</v>
      </c>
      <c r="AR54" s="233"/>
      <c r="AS54" s="238">
        <f>ROUND(AS55+AS57,2)</f>
        <v>0</v>
      </c>
      <c r="AT54" s="239">
        <f>ROUND(SUM(AV54:AW54),2)</f>
        <v>0</v>
      </c>
      <c r="AU54" s="240">
        <f>ROUND(AU55+AU57,5)</f>
        <v>0</v>
      </c>
      <c r="AV54" s="239">
        <f>ROUND(AZ54*L29,2)</f>
        <v>0</v>
      </c>
      <c r="AW54" s="239">
        <f>ROUND(BA54*L30,2)</f>
        <v>0</v>
      </c>
      <c r="AX54" s="239">
        <f>ROUND(BB54*L29,2)</f>
        <v>0</v>
      </c>
      <c r="AY54" s="239">
        <f>ROUND(BC54*L30,2)</f>
        <v>0</v>
      </c>
      <c r="AZ54" s="239">
        <f>ROUND(AZ55+AZ57,2)</f>
        <v>0</v>
      </c>
      <c r="BA54" s="239">
        <f>ROUND(BA55+BA57,2)</f>
        <v>0</v>
      </c>
      <c r="BB54" s="239">
        <f>ROUND(BB55+BB57,2)</f>
        <v>0</v>
      </c>
      <c r="BC54" s="239">
        <f>ROUND(BC55+BC57,2)</f>
        <v>0</v>
      </c>
      <c r="BD54" s="241">
        <f>ROUND(BD55+BD57,2)</f>
        <v>0</v>
      </c>
      <c r="BS54" s="242" t="s">
        <v>565</v>
      </c>
      <c r="BT54" s="242" t="s">
        <v>301</v>
      </c>
      <c r="BU54" s="243" t="s">
        <v>566</v>
      </c>
      <c r="BV54" s="242" t="s">
        <v>567</v>
      </c>
      <c r="BW54" s="242" t="s">
        <v>512</v>
      </c>
      <c r="BX54" s="242" t="s">
        <v>568</v>
      </c>
      <c r="CL54" s="242" t="s">
        <v>180</v>
      </c>
    </row>
    <row r="55" spans="2:91" s="244" customFormat="1" ht="16.5" customHeight="1">
      <c r="B55" s="245"/>
      <c r="C55" s="246"/>
      <c r="D55" s="617" t="s">
        <v>569</v>
      </c>
      <c r="E55" s="617"/>
      <c r="F55" s="617"/>
      <c r="G55" s="617"/>
      <c r="H55" s="617"/>
      <c r="I55" s="247"/>
      <c r="J55" s="617" t="s">
        <v>570</v>
      </c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8">
        <f>ROUND(AG56,2)</f>
        <v>0</v>
      </c>
      <c r="AH55" s="619"/>
      <c r="AI55" s="619"/>
      <c r="AJ55" s="619"/>
      <c r="AK55" s="619"/>
      <c r="AL55" s="619"/>
      <c r="AM55" s="619"/>
      <c r="AN55" s="620">
        <f>SUM(AG55,AT55)</f>
        <v>0</v>
      </c>
      <c r="AO55" s="619"/>
      <c r="AP55" s="619"/>
      <c r="AQ55" s="248" t="s">
        <v>571</v>
      </c>
      <c r="AR55" s="245"/>
      <c r="AS55" s="249">
        <f>ROUND(AS56,2)</f>
        <v>0</v>
      </c>
      <c r="AT55" s="250">
        <f>ROUND(SUM(AV55:AW55),2)</f>
        <v>0</v>
      </c>
      <c r="AU55" s="251">
        <f>ROUND(AU56,5)</f>
        <v>0</v>
      </c>
      <c r="AV55" s="250">
        <f>ROUND(AZ55*L29,2)</f>
        <v>0</v>
      </c>
      <c r="AW55" s="250">
        <f>ROUND(BA55*L30,2)</f>
        <v>0</v>
      </c>
      <c r="AX55" s="250">
        <f>ROUND(BB55*L29,2)</f>
        <v>0</v>
      </c>
      <c r="AY55" s="250">
        <f>ROUND(BC55*L30,2)</f>
        <v>0</v>
      </c>
      <c r="AZ55" s="250">
        <f>ROUND(AZ56,2)</f>
        <v>0</v>
      </c>
      <c r="BA55" s="250">
        <f>ROUND(BA56,2)</f>
        <v>0</v>
      </c>
      <c r="BB55" s="250">
        <f>ROUND(BB56,2)</f>
        <v>0</v>
      </c>
      <c r="BC55" s="250">
        <f>ROUND(BC56,2)</f>
        <v>0</v>
      </c>
      <c r="BD55" s="252">
        <f>ROUND(BD56,2)</f>
        <v>0</v>
      </c>
      <c r="BS55" s="253" t="s">
        <v>565</v>
      </c>
      <c r="BT55" s="253" t="s">
        <v>260</v>
      </c>
      <c r="BU55" s="253" t="s">
        <v>566</v>
      </c>
      <c r="BV55" s="253" t="s">
        <v>567</v>
      </c>
      <c r="BW55" s="253" t="s">
        <v>572</v>
      </c>
      <c r="BX55" s="253" t="s">
        <v>512</v>
      </c>
      <c r="CL55" s="253" t="s">
        <v>180</v>
      </c>
      <c r="CM55" s="253" t="s">
        <v>266</v>
      </c>
    </row>
    <row r="56" spans="1:90" s="215" customFormat="1" ht="16.5" customHeight="1">
      <c r="A56" s="396" t="s">
        <v>573</v>
      </c>
      <c r="B56" s="216"/>
      <c r="C56" s="254"/>
      <c r="D56" s="254"/>
      <c r="E56" s="621" t="s">
        <v>569</v>
      </c>
      <c r="F56" s="621"/>
      <c r="G56" s="621"/>
      <c r="H56" s="621"/>
      <c r="I56" s="621"/>
      <c r="J56" s="254"/>
      <c r="K56" s="621" t="s">
        <v>570</v>
      </c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2">
        <f>'[4]SO 101 - Silnice'!J32</f>
        <v>0</v>
      </c>
      <c r="AH56" s="623"/>
      <c r="AI56" s="623"/>
      <c r="AJ56" s="623"/>
      <c r="AK56" s="623"/>
      <c r="AL56" s="623"/>
      <c r="AM56" s="623"/>
      <c r="AN56" s="622">
        <f>SUM(AG56,AT56)</f>
        <v>0</v>
      </c>
      <c r="AO56" s="623"/>
      <c r="AP56" s="623"/>
      <c r="AQ56" s="255" t="s">
        <v>574</v>
      </c>
      <c r="AR56" s="216"/>
      <c r="AS56" s="256">
        <v>0</v>
      </c>
      <c r="AT56" s="257">
        <f>ROUND(SUM(AV56:AW56),2)</f>
        <v>0</v>
      </c>
      <c r="AU56" s="258">
        <f>'[4]SO 101 - Silnice'!P93</f>
        <v>0</v>
      </c>
      <c r="AV56" s="257">
        <f>'[4]SO 101 - Silnice'!J35</f>
        <v>0</v>
      </c>
      <c r="AW56" s="257">
        <f>'[4]SO 101 - Silnice'!J36</f>
        <v>0</v>
      </c>
      <c r="AX56" s="257">
        <f>'[4]SO 101 - Silnice'!J37</f>
        <v>0</v>
      </c>
      <c r="AY56" s="257">
        <f>'[4]SO 101 - Silnice'!J38</f>
        <v>0</v>
      </c>
      <c r="AZ56" s="257">
        <f>'[4]SO 101 - Silnice'!F35</f>
        <v>0</v>
      </c>
      <c r="BA56" s="257">
        <f>'[4]SO 101 - Silnice'!F36</f>
        <v>0</v>
      </c>
      <c r="BB56" s="257">
        <f>'[4]SO 101 - Silnice'!F37</f>
        <v>0</v>
      </c>
      <c r="BC56" s="257">
        <f>'[4]SO 101 - Silnice'!F38</f>
        <v>0</v>
      </c>
      <c r="BD56" s="259">
        <f>'[4]SO 101 - Silnice'!F39</f>
        <v>0</v>
      </c>
      <c r="BT56" s="193" t="s">
        <v>266</v>
      </c>
      <c r="BV56" s="193" t="s">
        <v>567</v>
      </c>
      <c r="BW56" s="193" t="s">
        <v>575</v>
      </c>
      <c r="BX56" s="193" t="s">
        <v>572</v>
      </c>
      <c r="CL56" s="193" t="s">
        <v>180</v>
      </c>
    </row>
    <row r="57" spans="2:91" s="244" customFormat="1" ht="16.5" customHeight="1">
      <c r="B57" s="245"/>
      <c r="C57" s="246"/>
      <c r="D57" s="617" t="s">
        <v>576</v>
      </c>
      <c r="E57" s="617"/>
      <c r="F57" s="617"/>
      <c r="G57" s="617"/>
      <c r="H57" s="617"/>
      <c r="I57" s="247"/>
      <c r="J57" s="617" t="s">
        <v>577</v>
      </c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7"/>
      <c r="AF57" s="617"/>
      <c r="AG57" s="618">
        <f>ROUND(AG58,2)</f>
        <v>0</v>
      </c>
      <c r="AH57" s="619"/>
      <c r="AI57" s="619"/>
      <c r="AJ57" s="619"/>
      <c r="AK57" s="619"/>
      <c r="AL57" s="619"/>
      <c r="AM57" s="619"/>
      <c r="AN57" s="620">
        <f>SUM(AG57,AT57)</f>
        <v>0</v>
      </c>
      <c r="AO57" s="619"/>
      <c r="AP57" s="619"/>
      <c r="AQ57" s="248" t="s">
        <v>571</v>
      </c>
      <c r="AR57" s="245"/>
      <c r="AS57" s="249">
        <f>ROUND(AS58,2)</f>
        <v>0</v>
      </c>
      <c r="AT57" s="250">
        <f>ROUND(SUM(AV57:AW57),2)</f>
        <v>0</v>
      </c>
      <c r="AU57" s="251">
        <f>ROUND(AU58,5)</f>
        <v>0</v>
      </c>
      <c r="AV57" s="250">
        <f>ROUND(AZ57*L29,2)</f>
        <v>0</v>
      </c>
      <c r="AW57" s="250">
        <f>ROUND(BA57*L30,2)</f>
        <v>0</v>
      </c>
      <c r="AX57" s="250">
        <f>ROUND(BB57*L29,2)</f>
        <v>0</v>
      </c>
      <c r="AY57" s="250">
        <f>ROUND(BC57*L30,2)</f>
        <v>0</v>
      </c>
      <c r="AZ57" s="250">
        <f>ROUND(AZ58,2)</f>
        <v>0</v>
      </c>
      <c r="BA57" s="250">
        <f>ROUND(BA58,2)</f>
        <v>0</v>
      </c>
      <c r="BB57" s="250">
        <f>ROUND(BB58,2)</f>
        <v>0</v>
      </c>
      <c r="BC57" s="250">
        <f>ROUND(BC58,2)</f>
        <v>0</v>
      </c>
      <c r="BD57" s="252">
        <f>ROUND(BD58,2)</f>
        <v>0</v>
      </c>
      <c r="BS57" s="253" t="s">
        <v>565</v>
      </c>
      <c r="BT57" s="253" t="s">
        <v>260</v>
      </c>
      <c r="BU57" s="253" t="s">
        <v>566</v>
      </c>
      <c r="BV57" s="253" t="s">
        <v>567</v>
      </c>
      <c r="BW57" s="253" t="s">
        <v>578</v>
      </c>
      <c r="BX57" s="253" t="s">
        <v>512</v>
      </c>
      <c r="CL57" s="253" t="s">
        <v>180</v>
      </c>
      <c r="CM57" s="253" t="s">
        <v>266</v>
      </c>
    </row>
    <row r="58" spans="1:90" s="215" customFormat="1" ht="16.5" customHeight="1">
      <c r="A58" s="396" t="s">
        <v>573</v>
      </c>
      <c r="B58" s="216"/>
      <c r="C58" s="254"/>
      <c r="D58" s="254"/>
      <c r="E58" s="621" t="s">
        <v>576</v>
      </c>
      <c r="F58" s="621"/>
      <c r="G58" s="621"/>
      <c r="H58" s="621"/>
      <c r="I58" s="621"/>
      <c r="J58" s="254"/>
      <c r="K58" s="621" t="s">
        <v>577</v>
      </c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2">
        <f>'[4]VRN - Vedlejší rozpočtové...'!J32</f>
        <v>0</v>
      </c>
      <c r="AH58" s="623"/>
      <c r="AI58" s="623"/>
      <c r="AJ58" s="623"/>
      <c r="AK58" s="623"/>
      <c r="AL58" s="623"/>
      <c r="AM58" s="623"/>
      <c r="AN58" s="622">
        <f>SUM(AG58,AT58)</f>
        <v>0</v>
      </c>
      <c r="AO58" s="623"/>
      <c r="AP58" s="623"/>
      <c r="AQ58" s="255" t="s">
        <v>574</v>
      </c>
      <c r="AR58" s="216"/>
      <c r="AS58" s="260">
        <v>0</v>
      </c>
      <c r="AT58" s="261">
        <f>ROUND(SUM(AV58:AW58),2)</f>
        <v>0</v>
      </c>
      <c r="AU58" s="262">
        <f>'[4]VRN - Vedlejší rozpočtové...'!P90</f>
        <v>0</v>
      </c>
      <c r="AV58" s="261">
        <f>'[4]VRN - Vedlejší rozpočtové...'!J35</f>
        <v>0</v>
      </c>
      <c r="AW58" s="261">
        <f>'[4]VRN - Vedlejší rozpočtové...'!J36</f>
        <v>0</v>
      </c>
      <c r="AX58" s="261">
        <f>'[4]VRN - Vedlejší rozpočtové...'!J37</f>
        <v>0</v>
      </c>
      <c r="AY58" s="261">
        <f>'[4]VRN - Vedlejší rozpočtové...'!J38</f>
        <v>0</v>
      </c>
      <c r="AZ58" s="261">
        <f>'[4]VRN - Vedlejší rozpočtové...'!F35</f>
        <v>0</v>
      </c>
      <c r="BA58" s="261">
        <f>'[4]VRN - Vedlejší rozpočtové...'!F36</f>
        <v>0</v>
      </c>
      <c r="BB58" s="261">
        <f>'[4]VRN - Vedlejší rozpočtové...'!F37</f>
        <v>0</v>
      </c>
      <c r="BC58" s="261">
        <f>'[4]VRN - Vedlejší rozpočtové...'!F38</f>
        <v>0</v>
      </c>
      <c r="BD58" s="263">
        <f>'[4]VRN - Vedlejší rozpočtové...'!F39</f>
        <v>0</v>
      </c>
      <c r="BT58" s="193" t="s">
        <v>266</v>
      </c>
      <c r="BV58" s="193" t="s">
        <v>567</v>
      </c>
      <c r="BW58" s="193" t="s">
        <v>579</v>
      </c>
      <c r="BX58" s="193" t="s">
        <v>578</v>
      </c>
      <c r="CL58" s="193" t="s">
        <v>180</v>
      </c>
    </row>
    <row r="59" spans="2:44" s="200" customFormat="1" ht="30" customHeight="1">
      <c r="B59" s="201"/>
      <c r="AR59" s="201"/>
    </row>
    <row r="60" spans="2:44" s="200" customFormat="1" ht="6.95" customHeight="1">
      <c r="B60" s="211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01"/>
    </row>
  </sheetData>
  <sheetProtection algorithmName="SHA-512" hashValue="SLNtKmtHgZTXrMPJIJFnpoX5I7sp2Ed4tN+N3Zz5c1eulFCCCPBAhtNs2xfJgw9NxYn14uXnTkYwrEeiCOQdNg==" saltValue="ZFMOCsiFIAVs7Blye55jXmebCSFkf72S9Br4AXw1kszL0SuwNSd8+KGFqNHoBxvcuJYpsnZs0YnnToPTEUgxjQ==" spinCount="100000" sheet="1" objects="1" scenarios="1" formatColumns="0" formatRows="0"/>
  <mergeCells count="54">
    <mergeCell ref="E58:I58"/>
    <mergeCell ref="K58:AF58"/>
    <mergeCell ref="AG58:AM58"/>
    <mergeCell ref="AN58:AP58"/>
    <mergeCell ref="E56:I56"/>
    <mergeCell ref="K56:AF56"/>
    <mergeCell ref="AG56:AM56"/>
    <mergeCell ref="AN56:AP56"/>
    <mergeCell ref="D57:H57"/>
    <mergeCell ref="J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6" location="'SO 101 - Silnice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4593-EEA7-4962-9492-D3A9BE130FE9}">
  <sheetPr>
    <pageSetUpPr fitToPage="1"/>
  </sheetPr>
  <dimension ref="B2:BM439"/>
  <sheetViews>
    <sheetView showGridLines="0" workbookViewId="0" topLeftCell="A14"/>
  </sheetViews>
  <sheetFormatPr defaultColWidth="9.140625" defaultRowHeight="15"/>
  <cols>
    <col min="1" max="1" width="7.140625" style="184" customWidth="1"/>
    <col min="2" max="2" width="0.9921875" style="184" customWidth="1"/>
    <col min="3" max="3" width="3.57421875" style="184" customWidth="1"/>
    <col min="4" max="4" width="3.7109375" style="184" customWidth="1"/>
    <col min="5" max="5" width="14.7109375" style="184" customWidth="1"/>
    <col min="6" max="6" width="86.421875" style="184" customWidth="1"/>
    <col min="7" max="7" width="6.421875" style="184" customWidth="1"/>
    <col min="8" max="8" width="12.00390625" style="184" customWidth="1"/>
    <col min="9" max="9" width="13.57421875" style="184" customWidth="1"/>
    <col min="10" max="11" width="19.140625" style="184" customWidth="1"/>
    <col min="12" max="12" width="8.00390625" style="184" customWidth="1"/>
    <col min="13" max="13" width="9.28125" style="184" hidden="1" customWidth="1"/>
    <col min="14" max="14" width="9.140625" style="184" customWidth="1"/>
    <col min="15" max="20" width="12.140625" style="184" hidden="1" customWidth="1"/>
    <col min="21" max="21" width="14.00390625" style="184" hidden="1" customWidth="1"/>
    <col min="22" max="22" width="10.57421875" style="184" customWidth="1"/>
    <col min="23" max="23" width="14.00390625" style="184" customWidth="1"/>
    <col min="24" max="24" width="10.57421875" style="184" customWidth="1"/>
    <col min="25" max="25" width="12.8515625" style="184" customWidth="1"/>
    <col min="26" max="26" width="9.421875" style="184" customWidth="1"/>
    <col min="27" max="27" width="12.8515625" style="184" customWidth="1"/>
    <col min="28" max="28" width="14.00390625" style="184" customWidth="1"/>
    <col min="29" max="29" width="9.421875" style="184" customWidth="1"/>
    <col min="30" max="30" width="12.8515625" style="184" customWidth="1"/>
    <col min="31" max="31" width="14.00390625" style="184" customWidth="1"/>
    <col min="32" max="16384" width="9.140625" style="184" customWidth="1"/>
  </cols>
  <sheetData>
    <row r="1" ht="12"/>
    <row r="2" spans="12:46" ht="36.95" customHeight="1"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AT2" s="185" t="s">
        <v>575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8"/>
      <c r="AT3" s="185" t="s">
        <v>266</v>
      </c>
    </row>
    <row r="4" spans="2:46" ht="24.95" customHeight="1">
      <c r="B4" s="188"/>
      <c r="D4" s="189" t="s">
        <v>580</v>
      </c>
      <c r="L4" s="188"/>
      <c r="M4" s="264" t="s">
        <v>515</v>
      </c>
      <c r="AT4" s="185" t="s">
        <v>511</v>
      </c>
    </row>
    <row r="5" spans="2:12" ht="6.95" customHeight="1">
      <c r="B5" s="188"/>
      <c r="L5" s="188"/>
    </row>
    <row r="6" spans="2:12" ht="12" customHeight="1">
      <c r="B6" s="188"/>
      <c r="D6" s="195" t="s">
        <v>521</v>
      </c>
      <c r="L6" s="188"/>
    </row>
    <row r="7" spans="2:12" ht="16.5" customHeight="1">
      <c r="B7" s="188"/>
      <c r="E7" s="625" t="str">
        <f>'[4]Rekapitulace stavby'!K6</f>
        <v>Karlovy Vary, Sady Karla IV – revitalizace veřejného prostranství</v>
      </c>
      <c r="F7" s="626"/>
      <c r="G7" s="626"/>
      <c r="H7" s="626"/>
      <c r="L7" s="188"/>
    </row>
    <row r="8" spans="2:12" ht="12" customHeight="1">
      <c r="B8" s="188"/>
      <c r="D8" s="195" t="s">
        <v>581</v>
      </c>
      <c r="L8" s="188"/>
    </row>
    <row r="9" spans="2:12" s="200" customFormat="1" ht="16.5" customHeight="1">
      <c r="B9" s="201"/>
      <c r="E9" s="625" t="s">
        <v>582</v>
      </c>
      <c r="F9" s="624"/>
      <c r="G9" s="624"/>
      <c r="H9" s="624"/>
      <c r="L9" s="201"/>
    </row>
    <row r="10" spans="2:12" s="200" customFormat="1" ht="12" customHeight="1">
      <c r="B10" s="201"/>
      <c r="D10" s="195" t="s">
        <v>583</v>
      </c>
      <c r="L10" s="201"/>
    </row>
    <row r="11" spans="2:12" s="200" customFormat="1" ht="16.5" customHeight="1">
      <c r="B11" s="201"/>
      <c r="E11" s="598" t="s">
        <v>582</v>
      </c>
      <c r="F11" s="624"/>
      <c r="G11" s="624"/>
      <c r="H11" s="624"/>
      <c r="L11" s="201"/>
    </row>
    <row r="12" spans="2:12" s="200" customFormat="1" ht="15">
      <c r="B12" s="201"/>
      <c r="L12" s="201"/>
    </row>
    <row r="13" spans="2:12" s="200" customFormat="1" ht="12" customHeight="1">
      <c r="B13" s="201"/>
      <c r="D13" s="195" t="s">
        <v>523</v>
      </c>
      <c r="F13" s="193" t="s">
        <v>180</v>
      </c>
      <c r="I13" s="195" t="s">
        <v>524</v>
      </c>
      <c r="J13" s="193" t="s">
        <v>180</v>
      </c>
      <c r="L13" s="201"/>
    </row>
    <row r="14" spans="2:12" s="200" customFormat="1" ht="12" customHeight="1">
      <c r="B14" s="201"/>
      <c r="D14" s="195" t="s">
        <v>525</v>
      </c>
      <c r="F14" s="193" t="s">
        <v>226</v>
      </c>
      <c r="I14" s="195" t="s">
        <v>4</v>
      </c>
      <c r="J14" s="221" t="str">
        <f>'[4]Rekapitulace stavby'!AN8</f>
        <v>18. 12. 2023</v>
      </c>
      <c r="L14" s="201"/>
    </row>
    <row r="15" spans="2:12" s="200" customFormat="1" ht="10.9" customHeight="1">
      <c r="B15" s="201"/>
      <c r="L15" s="201"/>
    </row>
    <row r="16" spans="2:12" s="200" customFormat="1" ht="12" customHeight="1">
      <c r="B16" s="201"/>
      <c r="D16" s="195" t="s">
        <v>526</v>
      </c>
      <c r="I16" s="195" t="s">
        <v>527</v>
      </c>
      <c r="J16" s="193" t="s">
        <v>180</v>
      </c>
      <c r="L16" s="201"/>
    </row>
    <row r="17" spans="2:12" s="200" customFormat="1" ht="18" customHeight="1">
      <c r="B17" s="201"/>
      <c r="E17" s="193" t="s">
        <v>7</v>
      </c>
      <c r="I17" s="195" t="s">
        <v>528</v>
      </c>
      <c r="J17" s="193" t="s">
        <v>180</v>
      </c>
      <c r="L17" s="201"/>
    </row>
    <row r="18" spans="2:12" s="200" customFormat="1" ht="6.95" customHeight="1">
      <c r="B18" s="201"/>
      <c r="L18" s="201"/>
    </row>
    <row r="19" spans="2:12" s="200" customFormat="1" ht="12" customHeight="1">
      <c r="B19" s="201"/>
      <c r="D19" s="195" t="s">
        <v>529</v>
      </c>
      <c r="I19" s="195" t="s">
        <v>527</v>
      </c>
      <c r="J19" s="196" t="str">
        <f>'[4]Rekapitulace stavby'!AN13</f>
        <v>Vyplň údaj</v>
      </c>
      <c r="L19" s="201"/>
    </row>
    <row r="20" spans="2:12" s="200" customFormat="1" ht="18" customHeight="1">
      <c r="B20" s="201"/>
      <c r="E20" s="627" t="str">
        <f>'[4]Rekapitulace stavby'!E14</f>
        <v>Vyplň údaj</v>
      </c>
      <c r="F20" s="584"/>
      <c r="G20" s="584"/>
      <c r="H20" s="584"/>
      <c r="I20" s="195" t="s">
        <v>528</v>
      </c>
      <c r="J20" s="196" t="str">
        <f>'[4]Rekapitulace stavby'!AN14</f>
        <v>Vyplň údaj</v>
      </c>
      <c r="L20" s="201"/>
    </row>
    <row r="21" spans="2:12" s="200" customFormat="1" ht="6.95" customHeight="1">
      <c r="B21" s="201"/>
      <c r="L21" s="201"/>
    </row>
    <row r="22" spans="2:12" s="200" customFormat="1" ht="12" customHeight="1">
      <c r="B22" s="201"/>
      <c r="D22" s="195" t="s">
        <v>182</v>
      </c>
      <c r="I22" s="195" t="s">
        <v>527</v>
      </c>
      <c r="J22" s="193" t="str">
        <f>IF('[4]Rekapitulace stavby'!AN16="","",'[4]Rekapitulace stavby'!AN16)</f>
        <v/>
      </c>
      <c r="L22" s="201"/>
    </row>
    <row r="23" spans="2:12" s="200" customFormat="1" ht="18" customHeight="1">
      <c r="B23" s="201"/>
      <c r="E23" s="193" t="str">
        <f>IF('[4]Rekapitulace stavby'!E17="","",'[4]Rekapitulace stavby'!E17)</f>
        <v xml:space="preserve"> </v>
      </c>
      <c r="I23" s="195" t="s">
        <v>528</v>
      </c>
      <c r="J23" s="193" t="str">
        <f>IF('[4]Rekapitulace stavby'!AN17="","",'[4]Rekapitulace stavby'!AN17)</f>
        <v/>
      </c>
      <c r="L23" s="201"/>
    </row>
    <row r="24" spans="2:12" s="200" customFormat="1" ht="6.95" customHeight="1">
      <c r="B24" s="201"/>
      <c r="L24" s="201"/>
    </row>
    <row r="25" spans="2:12" s="200" customFormat="1" ht="12" customHeight="1">
      <c r="B25" s="201"/>
      <c r="D25" s="195" t="s">
        <v>532</v>
      </c>
      <c r="I25" s="195" t="s">
        <v>527</v>
      </c>
      <c r="J25" s="193" t="str">
        <f>IF('[4]Rekapitulace stavby'!AN19="","",'[4]Rekapitulace stavby'!AN19)</f>
        <v/>
      </c>
      <c r="L25" s="201"/>
    </row>
    <row r="26" spans="2:12" s="200" customFormat="1" ht="18" customHeight="1">
      <c r="B26" s="201"/>
      <c r="E26" s="193" t="str">
        <f>IF('[4]Rekapitulace stavby'!E20="","",'[4]Rekapitulace stavby'!E20)</f>
        <v xml:space="preserve"> </v>
      </c>
      <c r="I26" s="195" t="s">
        <v>528</v>
      </c>
      <c r="J26" s="193" t="str">
        <f>IF('[4]Rekapitulace stavby'!AN20="","",'[4]Rekapitulace stavby'!AN20)</f>
        <v/>
      </c>
      <c r="L26" s="201"/>
    </row>
    <row r="27" spans="2:12" s="200" customFormat="1" ht="6.95" customHeight="1">
      <c r="B27" s="201"/>
      <c r="L27" s="201"/>
    </row>
    <row r="28" spans="2:12" s="200" customFormat="1" ht="12" customHeight="1">
      <c r="B28" s="201"/>
      <c r="D28" s="195" t="s">
        <v>220</v>
      </c>
      <c r="L28" s="201"/>
    </row>
    <row r="29" spans="2:12" s="265" customFormat="1" ht="16.5" customHeight="1">
      <c r="B29" s="266"/>
      <c r="E29" s="591" t="s">
        <v>180</v>
      </c>
      <c r="F29" s="591"/>
      <c r="G29" s="591"/>
      <c r="H29" s="591"/>
      <c r="L29" s="266"/>
    </row>
    <row r="30" spans="2:12" s="200" customFormat="1" ht="6.95" customHeight="1">
      <c r="B30" s="201"/>
      <c r="L30" s="201"/>
    </row>
    <row r="31" spans="2:12" s="200" customFormat="1" ht="6.95" customHeight="1">
      <c r="B31" s="201"/>
      <c r="D31" s="222"/>
      <c r="E31" s="222"/>
      <c r="F31" s="222"/>
      <c r="G31" s="222"/>
      <c r="H31" s="222"/>
      <c r="I31" s="222"/>
      <c r="J31" s="222"/>
      <c r="K31" s="222"/>
      <c r="L31" s="201"/>
    </row>
    <row r="32" spans="2:12" s="200" customFormat="1" ht="25.35" customHeight="1">
      <c r="B32" s="201"/>
      <c r="D32" s="267" t="s">
        <v>534</v>
      </c>
      <c r="J32" s="236">
        <f>ROUND(J93,2)</f>
        <v>0</v>
      </c>
      <c r="L32" s="201"/>
    </row>
    <row r="33" spans="2:12" s="200" customFormat="1" ht="6.95" customHeight="1">
      <c r="B33" s="201"/>
      <c r="D33" s="222"/>
      <c r="E33" s="222"/>
      <c r="F33" s="222"/>
      <c r="G33" s="222"/>
      <c r="H33" s="222"/>
      <c r="I33" s="222"/>
      <c r="J33" s="222"/>
      <c r="K33" s="222"/>
      <c r="L33" s="201"/>
    </row>
    <row r="34" spans="2:12" s="200" customFormat="1" ht="14.45" customHeight="1">
      <c r="B34" s="201"/>
      <c r="F34" s="204" t="s">
        <v>536</v>
      </c>
      <c r="I34" s="204" t="s">
        <v>535</v>
      </c>
      <c r="J34" s="204" t="s">
        <v>537</v>
      </c>
      <c r="L34" s="201"/>
    </row>
    <row r="35" spans="2:12" s="200" customFormat="1" ht="14.45" customHeight="1">
      <c r="B35" s="201"/>
      <c r="D35" s="224" t="s">
        <v>538</v>
      </c>
      <c r="E35" s="195" t="s">
        <v>539</v>
      </c>
      <c r="F35" s="257">
        <f>ROUND((SUM(BE93:BE438)),2)</f>
        <v>0</v>
      </c>
      <c r="I35" s="268">
        <v>0.21</v>
      </c>
      <c r="J35" s="257">
        <f>ROUND(((SUM(BE93:BE438))*I35),2)</f>
        <v>0</v>
      </c>
      <c r="L35" s="201"/>
    </row>
    <row r="36" spans="2:12" s="200" customFormat="1" ht="14.45" customHeight="1">
      <c r="B36" s="201"/>
      <c r="E36" s="195" t="s">
        <v>540</v>
      </c>
      <c r="F36" s="257">
        <f>ROUND((SUM(BF93:BF438)),2)</f>
        <v>0</v>
      </c>
      <c r="I36" s="268">
        <v>0.15</v>
      </c>
      <c r="J36" s="257">
        <f>ROUND(((SUM(BF93:BF438))*I36),2)</f>
        <v>0</v>
      </c>
      <c r="L36" s="201"/>
    </row>
    <row r="37" spans="2:12" s="200" customFormat="1" ht="14.45" customHeight="1" hidden="1">
      <c r="B37" s="201"/>
      <c r="E37" s="195" t="s">
        <v>541</v>
      </c>
      <c r="F37" s="257">
        <f>ROUND((SUM(BG93:BG438)),2)</f>
        <v>0</v>
      </c>
      <c r="I37" s="268">
        <v>0.21</v>
      </c>
      <c r="J37" s="257">
        <f>0</f>
        <v>0</v>
      </c>
      <c r="L37" s="201"/>
    </row>
    <row r="38" spans="2:12" s="200" customFormat="1" ht="14.45" customHeight="1" hidden="1">
      <c r="B38" s="201"/>
      <c r="E38" s="195" t="s">
        <v>542</v>
      </c>
      <c r="F38" s="257">
        <f>ROUND((SUM(BH93:BH438)),2)</f>
        <v>0</v>
      </c>
      <c r="I38" s="268">
        <v>0.15</v>
      </c>
      <c r="J38" s="257">
        <f>0</f>
        <v>0</v>
      </c>
      <c r="L38" s="201"/>
    </row>
    <row r="39" spans="2:12" s="200" customFormat="1" ht="14.45" customHeight="1" hidden="1">
      <c r="B39" s="201"/>
      <c r="E39" s="195" t="s">
        <v>543</v>
      </c>
      <c r="F39" s="257">
        <f>ROUND((SUM(BI93:BI438)),2)</f>
        <v>0</v>
      </c>
      <c r="I39" s="268">
        <v>0</v>
      </c>
      <c r="J39" s="257">
        <f>0</f>
        <v>0</v>
      </c>
      <c r="L39" s="201"/>
    </row>
    <row r="40" spans="2:12" s="200" customFormat="1" ht="6.95" customHeight="1">
      <c r="B40" s="201"/>
      <c r="L40" s="201"/>
    </row>
    <row r="41" spans="2:12" s="200" customFormat="1" ht="25.35" customHeight="1">
      <c r="B41" s="201"/>
      <c r="C41" s="269"/>
      <c r="D41" s="270" t="s">
        <v>544</v>
      </c>
      <c r="E41" s="226"/>
      <c r="F41" s="226"/>
      <c r="G41" s="271" t="s">
        <v>545</v>
      </c>
      <c r="H41" s="272" t="s">
        <v>546</v>
      </c>
      <c r="I41" s="226"/>
      <c r="J41" s="273">
        <f>SUM(J32:J39)</f>
        <v>0</v>
      </c>
      <c r="K41" s="274"/>
      <c r="L41" s="201"/>
    </row>
    <row r="42" spans="2:12" s="200" customFormat="1" ht="14.45" customHeight="1"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01"/>
    </row>
    <row r="46" spans="2:12" s="200" customFormat="1" ht="6.95" customHeight="1"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01"/>
    </row>
    <row r="47" spans="2:12" s="200" customFormat="1" ht="24.95" customHeight="1">
      <c r="B47" s="201"/>
      <c r="C47" s="189" t="s">
        <v>584</v>
      </c>
      <c r="L47" s="201"/>
    </row>
    <row r="48" spans="2:12" s="200" customFormat="1" ht="6.95" customHeight="1">
      <c r="B48" s="201"/>
      <c r="L48" s="201"/>
    </row>
    <row r="49" spans="2:12" s="200" customFormat="1" ht="12" customHeight="1">
      <c r="B49" s="201"/>
      <c r="C49" s="195" t="s">
        <v>521</v>
      </c>
      <c r="L49" s="201"/>
    </row>
    <row r="50" spans="2:12" s="200" customFormat="1" ht="16.5" customHeight="1">
      <c r="B50" s="201"/>
      <c r="E50" s="625" t="str">
        <f>E7</f>
        <v>Karlovy Vary, Sady Karla IV – revitalizace veřejného prostranství</v>
      </c>
      <c r="F50" s="626"/>
      <c r="G50" s="626"/>
      <c r="H50" s="626"/>
      <c r="L50" s="201"/>
    </row>
    <row r="51" spans="2:12" ht="12" customHeight="1">
      <c r="B51" s="188"/>
      <c r="C51" s="195" t="s">
        <v>581</v>
      </c>
      <c r="L51" s="188"/>
    </row>
    <row r="52" spans="2:12" s="200" customFormat="1" ht="16.5" customHeight="1">
      <c r="B52" s="201"/>
      <c r="E52" s="625" t="s">
        <v>582</v>
      </c>
      <c r="F52" s="624"/>
      <c r="G52" s="624"/>
      <c r="H52" s="624"/>
      <c r="L52" s="201"/>
    </row>
    <row r="53" spans="2:12" s="200" customFormat="1" ht="12" customHeight="1">
      <c r="B53" s="201"/>
      <c r="C53" s="195" t="s">
        <v>583</v>
      </c>
      <c r="L53" s="201"/>
    </row>
    <row r="54" spans="2:12" s="200" customFormat="1" ht="16.5" customHeight="1">
      <c r="B54" s="201"/>
      <c r="E54" s="598" t="str">
        <f>E11</f>
        <v>SO 101 - Silnice</v>
      </c>
      <c r="F54" s="624"/>
      <c r="G54" s="624"/>
      <c r="H54" s="624"/>
      <c r="L54" s="201"/>
    </row>
    <row r="55" spans="2:12" s="200" customFormat="1" ht="6.95" customHeight="1">
      <c r="B55" s="201"/>
      <c r="L55" s="201"/>
    </row>
    <row r="56" spans="2:12" s="200" customFormat="1" ht="12" customHeight="1">
      <c r="B56" s="201"/>
      <c r="C56" s="195" t="s">
        <v>525</v>
      </c>
      <c r="F56" s="193" t="str">
        <f>F14</f>
        <v>Karlovy Vary</v>
      </c>
      <c r="I56" s="195" t="s">
        <v>4</v>
      </c>
      <c r="J56" s="221" t="str">
        <f>IF(J14="","",J14)</f>
        <v>18. 12. 2023</v>
      </c>
      <c r="L56" s="201"/>
    </row>
    <row r="57" spans="2:12" s="200" customFormat="1" ht="6.95" customHeight="1">
      <c r="B57" s="201"/>
      <c r="L57" s="201"/>
    </row>
    <row r="58" spans="2:12" s="200" customFormat="1" ht="15.2" customHeight="1">
      <c r="B58" s="201"/>
      <c r="C58" s="195" t="s">
        <v>526</v>
      </c>
      <c r="F58" s="193" t="str">
        <f>E17</f>
        <v>Statutární město Karlovy Vary</v>
      </c>
      <c r="I58" s="195" t="s">
        <v>182</v>
      </c>
      <c r="J58" s="198" t="str">
        <f>E23</f>
        <v xml:space="preserve"> </v>
      </c>
      <c r="L58" s="201"/>
    </row>
    <row r="59" spans="2:12" s="200" customFormat="1" ht="15.2" customHeight="1">
      <c r="B59" s="201"/>
      <c r="C59" s="195" t="s">
        <v>529</v>
      </c>
      <c r="F59" s="193" t="str">
        <f>IF(E20="","",E20)</f>
        <v>Vyplň údaj</v>
      </c>
      <c r="I59" s="195" t="s">
        <v>532</v>
      </c>
      <c r="J59" s="198" t="str">
        <f>E26</f>
        <v xml:space="preserve"> </v>
      </c>
      <c r="L59" s="201"/>
    </row>
    <row r="60" spans="2:12" s="200" customFormat="1" ht="10.35" customHeight="1">
      <c r="B60" s="201"/>
      <c r="L60" s="201"/>
    </row>
    <row r="61" spans="2:12" s="200" customFormat="1" ht="29.25" customHeight="1">
      <c r="B61" s="201"/>
      <c r="C61" s="275" t="s">
        <v>585</v>
      </c>
      <c r="D61" s="269"/>
      <c r="E61" s="269"/>
      <c r="F61" s="269"/>
      <c r="G61" s="269"/>
      <c r="H61" s="269"/>
      <c r="I61" s="269"/>
      <c r="J61" s="276" t="s">
        <v>586</v>
      </c>
      <c r="K61" s="269"/>
      <c r="L61" s="201"/>
    </row>
    <row r="62" spans="2:12" s="200" customFormat="1" ht="10.35" customHeight="1">
      <c r="B62" s="201"/>
      <c r="L62" s="201"/>
    </row>
    <row r="63" spans="2:47" s="200" customFormat="1" ht="22.9" customHeight="1">
      <c r="B63" s="201"/>
      <c r="C63" s="277" t="s">
        <v>564</v>
      </c>
      <c r="J63" s="236">
        <f>J93</f>
        <v>0</v>
      </c>
      <c r="L63" s="201"/>
      <c r="AU63" s="185" t="s">
        <v>587</v>
      </c>
    </row>
    <row r="64" spans="2:12" s="278" customFormat="1" ht="24.95" customHeight="1">
      <c r="B64" s="279"/>
      <c r="D64" s="280" t="s">
        <v>588</v>
      </c>
      <c r="E64" s="281"/>
      <c r="F64" s="281"/>
      <c r="G64" s="281"/>
      <c r="H64" s="281"/>
      <c r="I64" s="281"/>
      <c r="J64" s="282">
        <f>J94</f>
        <v>0</v>
      </c>
      <c r="L64" s="279"/>
    </row>
    <row r="65" spans="2:12" s="254" customFormat="1" ht="19.9" customHeight="1">
      <c r="B65" s="283"/>
      <c r="D65" s="284" t="s">
        <v>589</v>
      </c>
      <c r="E65" s="285"/>
      <c r="F65" s="285"/>
      <c r="G65" s="285"/>
      <c r="H65" s="285"/>
      <c r="I65" s="285"/>
      <c r="J65" s="286">
        <f>J95</f>
        <v>0</v>
      </c>
      <c r="L65" s="283"/>
    </row>
    <row r="66" spans="2:12" s="254" customFormat="1" ht="19.9" customHeight="1">
      <c r="B66" s="283"/>
      <c r="D66" s="284" t="s">
        <v>590</v>
      </c>
      <c r="E66" s="285"/>
      <c r="F66" s="285"/>
      <c r="G66" s="285"/>
      <c r="H66" s="285"/>
      <c r="I66" s="285"/>
      <c r="J66" s="286">
        <f>J197</f>
        <v>0</v>
      </c>
      <c r="L66" s="283"/>
    </row>
    <row r="67" spans="2:12" s="254" customFormat="1" ht="19.9" customHeight="1">
      <c r="B67" s="283"/>
      <c r="D67" s="284" t="s">
        <v>591</v>
      </c>
      <c r="E67" s="285"/>
      <c r="F67" s="285"/>
      <c r="G67" s="285"/>
      <c r="H67" s="285"/>
      <c r="I67" s="285"/>
      <c r="J67" s="286">
        <f>J223</f>
        <v>0</v>
      </c>
      <c r="L67" s="283"/>
    </row>
    <row r="68" spans="2:12" s="254" customFormat="1" ht="19.9" customHeight="1">
      <c r="B68" s="283"/>
      <c r="D68" s="284" t="s">
        <v>592</v>
      </c>
      <c r="E68" s="285"/>
      <c r="F68" s="285"/>
      <c r="G68" s="285"/>
      <c r="H68" s="285"/>
      <c r="I68" s="285"/>
      <c r="J68" s="286">
        <f>J283</f>
        <v>0</v>
      </c>
      <c r="L68" s="283"/>
    </row>
    <row r="69" spans="2:12" s="254" customFormat="1" ht="19.9" customHeight="1">
      <c r="B69" s="283"/>
      <c r="D69" s="284" t="s">
        <v>593</v>
      </c>
      <c r="E69" s="285"/>
      <c r="F69" s="285"/>
      <c r="G69" s="285"/>
      <c r="H69" s="285"/>
      <c r="I69" s="285"/>
      <c r="J69" s="286">
        <f>J306</f>
        <v>0</v>
      </c>
      <c r="L69" s="283"/>
    </row>
    <row r="70" spans="2:12" s="254" customFormat="1" ht="19.9" customHeight="1">
      <c r="B70" s="283"/>
      <c r="D70" s="284" t="s">
        <v>594</v>
      </c>
      <c r="E70" s="285"/>
      <c r="F70" s="285"/>
      <c r="G70" s="285"/>
      <c r="H70" s="285"/>
      <c r="I70" s="285"/>
      <c r="J70" s="286">
        <f>J390</f>
        <v>0</v>
      </c>
      <c r="L70" s="283"/>
    </row>
    <row r="71" spans="2:12" s="254" customFormat="1" ht="19.9" customHeight="1">
      <c r="B71" s="283"/>
      <c r="D71" s="284" t="s">
        <v>595</v>
      </c>
      <c r="E71" s="285"/>
      <c r="F71" s="285"/>
      <c r="G71" s="285"/>
      <c r="H71" s="285"/>
      <c r="I71" s="285"/>
      <c r="J71" s="286">
        <f>J435</f>
        <v>0</v>
      </c>
      <c r="L71" s="283"/>
    </row>
    <row r="72" spans="2:12" s="200" customFormat="1" ht="21.75" customHeight="1">
      <c r="B72" s="201"/>
      <c r="L72" s="201"/>
    </row>
    <row r="73" spans="2:12" s="200" customFormat="1" ht="6.95" customHeight="1">
      <c r="B73" s="211"/>
      <c r="C73" s="212"/>
      <c r="D73" s="212"/>
      <c r="E73" s="212"/>
      <c r="F73" s="212"/>
      <c r="G73" s="212"/>
      <c r="H73" s="212"/>
      <c r="I73" s="212"/>
      <c r="J73" s="212"/>
      <c r="K73" s="212"/>
      <c r="L73" s="201"/>
    </row>
    <row r="77" spans="2:12" s="200" customFormat="1" ht="6.95" customHeight="1">
      <c r="B77" s="213"/>
      <c r="C77" s="214"/>
      <c r="D77" s="214"/>
      <c r="E77" s="214"/>
      <c r="F77" s="214"/>
      <c r="G77" s="214"/>
      <c r="H77" s="214"/>
      <c r="I77" s="214"/>
      <c r="J77" s="214"/>
      <c r="K77" s="214"/>
      <c r="L77" s="201"/>
    </row>
    <row r="78" spans="2:12" s="200" customFormat="1" ht="24.95" customHeight="1">
      <c r="B78" s="201"/>
      <c r="C78" s="189" t="s">
        <v>596</v>
      </c>
      <c r="L78" s="201"/>
    </row>
    <row r="79" spans="2:12" s="200" customFormat="1" ht="6.95" customHeight="1">
      <c r="B79" s="201"/>
      <c r="L79" s="201"/>
    </row>
    <row r="80" spans="2:12" s="200" customFormat="1" ht="12" customHeight="1">
      <c r="B80" s="201"/>
      <c r="C80" s="195" t="s">
        <v>521</v>
      </c>
      <c r="L80" s="201"/>
    </row>
    <row r="81" spans="2:12" s="200" customFormat="1" ht="16.5" customHeight="1">
      <c r="B81" s="201"/>
      <c r="E81" s="625" t="str">
        <f>E7</f>
        <v>Karlovy Vary, Sady Karla IV – revitalizace veřejného prostranství</v>
      </c>
      <c r="F81" s="626"/>
      <c r="G81" s="626"/>
      <c r="H81" s="626"/>
      <c r="L81" s="201"/>
    </row>
    <row r="82" spans="2:12" ht="12" customHeight="1">
      <c r="B82" s="188"/>
      <c r="C82" s="195" t="s">
        <v>581</v>
      </c>
      <c r="L82" s="188"/>
    </row>
    <row r="83" spans="2:12" s="200" customFormat="1" ht="16.5" customHeight="1">
      <c r="B83" s="201"/>
      <c r="E83" s="625" t="s">
        <v>582</v>
      </c>
      <c r="F83" s="624"/>
      <c r="G83" s="624"/>
      <c r="H83" s="624"/>
      <c r="L83" s="201"/>
    </row>
    <row r="84" spans="2:12" s="200" customFormat="1" ht="12" customHeight="1">
      <c r="B84" s="201"/>
      <c r="C84" s="195" t="s">
        <v>583</v>
      </c>
      <c r="L84" s="201"/>
    </row>
    <row r="85" spans="2:12" s="200" customFormat="1" ht="16.5" customHeight="1">
      <c r="B85" s="201"/>
      <c r="E85" s="598" t="str">
        <f>E11</f>
        <v>SO 101 - Silnice</v>
      </c>
      <c r="F85" s="624"/>
      <c r="G85" s="624"/>
      <c r="H85" s="624"/>
      <c r="L85" s="201"/>
    </row>
    <row r="86" spans="2:12" s="200" customFormat="1" ht="6.95" customHeight="1">
      <c r="B86" s="201"/>
      <c r="L86" s="201"/>
    </row>
    <row r="87" spans="2:12" s="200" customFormat="1" ht="12" customHeight="1">
      <c r="B87" s="201"/>
      <c r="C87" s="195" t="s">
        <v>525</v>
      </c>
      <c r="F87" s="193" t="str">
        <f>F14</f>
        <v>Karlovy Vary</v>
      </c>
      <c r="I87" s="195" t="s">
        <v>4</v>
      </c>
      <c r="J87" s="221" t="str">
        <f>IF(J14="","",J14)</f>
        <v>18. 12. 2023</v>
      </c>
      <c r="L87" s="201"/>
    </row>
    <row r="88" spans="2:12" s="200" customFormat="1" ht="6.95" customHeight="1">
      <c r="B88" s="201"/>
      <c r="L88" s="201"/>
    </row>
    <row r="89" spans="2:12" s="200" customFormat="1" ht="15.2" customHeight="1">
      <c r="B89" s="201"/>
      <c r="C89" s="195" t="s">
        <v>526</v>
      </c>
      <c r="F89" s="193" t="str">
        <f>E17</f>
        <v>Statutární město Karlovy Vary</v>
      </c>
      <c r="I89" s="195" t="s">
        <v>182</v>
      </c>
      <c r="J89" s="198" t="str">
        <f>E23</f>
        <v xml:space="preserve"> </v>
      </c>
      <c r="L89" s="201"/>
    </row>
    <row r="90" spans="2:12" s="200" customFormat="1" ht="15.2" customHeight="1">
      <c r="B90" s="201"/>
      <c r="C90" s="195" t="s">
        <v>529</v>
      </c>
      <c r="F90" s="193" t="str">
        <f>IF(E20="","",E20)</f>
        <v>Vyplň údaj</v>
      </c>
      <c r="I90" s="195" t="s">
        <v>532</v>
      </c>
      <c r="J90" s="198" t="str">
        <f>E26</f>
        <v xml:space="preserve"> </v>
      </c>
      <c r="L90" s="201"/>
    </row>
    <row r="91" spans="2:12" s="200" customFormat="1" ht="10.35" customHeight="1">
      <c r="B91" s="201"/>
      <c r="L91" s="201"/>
    </row>
    <row r="92" spans="2:20" s="287" customFormat="1" ht="29.25" customHeight="1">
      <c r="B92" s="288"/>
      <c r="C92" s="289" t="s">
        <v>597</v>
      </c>
      <c r="D92" s="290" t="s">
        <v>551</v>
      </c>
      <c r="E92" s="290" t="s">
        <v>23</v>
      </c>
      <c r="F92" s="290" t="s">
        <v>24</v>
      </c>
      <c r="G92" s="290" t="s">
        <v>25</v>
      </c>
      <c r="H92" s="290" t="s">
        <v>233</v>
      </c>
      <c r="I92" s="290" t="s">
        <v>598</v>
      </c>
      <c r="J92" s="290" t="s">
        <v>586</v>
      </c>
      <c r="K92" s="291" t="s">
        <v>599</v>
      </c>
      <c r="L92" s="288"/>
      <c r="M92" s="228" t="s">
        <v>180</v>
      </c>
      <c r="N92" s="229" t="s">
        <v>538</v>
      </c>
      <c r="O92" s="229" t="s">
        <v>600</v>
      </c>
      <c r="P92" s="229" t="s">
        <v>601</v>
      </c>
      <c r="Q92" s="229" t="s">
        <v>602</v>
      </c>
      <c r="R92" s="229" t="s">
        <v>603</v>
      </c>
      <c r="S92" s="229" t="s">
        <v>604</v>
      </c>
      <c r="T92" s="230" t="s">
        <v>605</v>
      </c>
    </row>
    <row r="93" spans="2:63" s="200" customFormat="1" ht="22.9" customHeight="1">
      <c r="B93" s="201"/>
      <c r="C93" s="234" t="s">
        <v>606</v>
      </c>
      <c r="J93" s="292">
        <f>BK93</f>
        <v>0</v>
      </c>
      <c r="L93" s="201"/>
      <c r="M93" s="231"/>
      <c r="N93" s="222"/>
      <c r="O93" s="222"/>
      <c r="P93" s="293">
        <f>P94</f>
        <v>0</v>
      </c>
      <c r="Q93" s="222"/>
      <c r="R93" s="293">
        <f>R94</f>
        <v>513.9181448</v>
      </c>
      <c r="S93" s="222"/>
      <c r="T93" s="294">
        <f>T94</f>
        <v>1066.8210000000001</v>
      </c>
      <c r="AT93" s="185" t="s">
        <v>565</v>
      </c>
      <c r="AU93" s="185" t="s">
        <v>587</v>
      </c>
      <c r="BK93" s="295">
        <f>BK94</f>
        <v>0</v>
      </c>
    </row>
    <row r="94" spans="2:63" s="296" customFormat="1" ht="25.9" customHeight="1">
      <c r="B94" s="297"/>
      <c r="D94" s="298" t="s">
        <v>565</v>
      </c>
      <c r="E94" s="299" t="s">
        <v>197</v>
      </c>
      <c r="F94" s="299" t="s">
        <v>607</v>
      </c>
      <c r="I94" s="300"/>
      <c r="J94" s="301">
        <f>BK94</f>
        <v>0</v>
      </c>
      <c r="L94" s="297"/>
      <c r="M94" s="302"/>
      <c r="P94" s="303">
        <f>P95+P197+P223+P283+P306+P390+P435</f>
        <v>0</v>
      </c>
      <c r="R94" s="303">
        <f>R95+R197+R223+R283+R306+R390+R435</f>
        <v>513.9181448</v>
      </c>
      <c r="T94" s="304">
        <f>T95+T197+T223+T283+T306+T390+T435</f>
        <v>1066.8210000000001</v>
      </c>
      <c r="AR94" s="298" t="s">
        <v>260</v>
      </c>
      <c r="AT94" s="305" t="s">
        <v>565</v>
      </c>
      <c r="AU94" s="305" t="s">
        <v>301</v>
      </c>
      <c r="AY94" s="298" t="s">
        <v>608</v>
      </c>
      <c r="BK94" s="306">
        <f>BK95+BK197+BK223+BK283+BK306+BK390+BK435</f>
        <v>0</v>
      </c>
    </row>
    <row r="95" spans="2:63" s="296" customFormat="1" ht="22.9" customHeight="1">
      <c r="B95" s="297"/>
      <c r="D95" s="298" t="s">
        <v>565</v>
      </c>
      <c r="E95" s="307" t="s">
        <v>260</v>
      </c>
      <c r="F95" s="307" t="s">
        <v>609</v>
      </c>
      <c r="I95" s="300"/>
      <c r="J95" s="308">
        <f>BK95</f>
        <v>0</v>
      </c>
      <c r="L95" s="297"/>
      <c r="M95" s="302"/>
      <c r="P95" s="303">
        <f>SUM(P96:P196)</f>
        <v>0</v>
      </c>
      <c r="R95" s="303">
        <f>SUM(R96:R196)</f>
        <v>16.28345</v>
      </c>
      <c r="T95" s="304">
        <f>SUM(T96:T196)</f>
        <v>1065.9550000000002</v>
      </c>
      <c r="AR95" s="298" t="s">
        <v>260</v>
      </c>
      <c r="AT95" s="305" t="s">
        <v>565</v>
      </c>
      <c r="AU95" s="305" t="s">
        <v>260</v>
      </c>
      <c r="AY95" s="298" t="s">
        <v>608</v>
      </c>
      <c r="BK95" s="306">
        <f>SUM(BK96:BK196)</f>
        <v>0</v>
      </c>
    </row>
    <row r="96" spans="2:65" s="200" customFormat="1" ht="16.5" customHeight="1">
      <c r="B96" s="201"/>
      <c r="C96" s="309" t="s">
        <v>260</v>
      </c>
      <c r="D96" s="309" t="s">
        <v>610</v>
      </c>
      <c r="E96" s="310" t="s">
        <v>611</v>
      </c>
      <c r="F96" s="311" t="s">
        <v>1246</v>
      </c>
      <c r="G96" s="312" t="s">
        <v>261</v>
      </c>
      <c r="H96" s="313">
        <v>10</v>
      </c>
      <c r="I96" s="314"/>
      <c r="J96" s="315">
        <f>ROUND(I96*H96,2)</f>
        <v>0</v>
      </c>
      <c r="K96" s="311" t="s">
        <v>613</v>
      </c>
      <c r="L96" s="201"/>
      <c r="M96" s="316" t="s">
        <v>180</v>
      </c>
      <c r="N96" s="317" t="s">
        <v>539</v>
      </c>
      <c r="P96" s="318">
        <f>O96*H96</f>
        <v>0</v>
      </c>
      <c r="Q96" s="318">
        <v>0</v>
      </c>
      <c r="R96" s="318">
        <f>Q96*H96</f>
        <v>0</v>
      </c>
      <c r="S96" s="318">
        <v>0.26</v>
      </c>
      <c r="T96" s="319">
        <f>S96*H96</f>
        <v>2.6</v>
      </c>
      <c r="AR96" s="320" t="s">
        <v>269</v>
      </c>
      <c r="AT96" s="320" t="s">
        <v>610</v>
      </c>
      <c r="AU96" s="320" t="s">
        <v>266</v>
      </c>
      <c r="AY96" s="185" t="s">
        <v>608</v>
      </c>
      <c r="BE96" s="321">
        <f>IF(N96="základní",J96,0)</f>
        <v>0</v>
      </c>
      <c r="BF96" s="321">
        <f>IF(N96="snížená",J96,0)</f>
        <v>0</v>
      </c>
      <c r="BG96" s="321">
        <f>IF(N96="zákl. přenesená",J96,0)</f>
        <v>0</v>
      </c>
      <c r="BH96" s="321">
        <f>IF(N96="sníž. přenesená",J96,0)</f>
        <v>0</v>
      </c>
      <c r="BI96" s="321">
        <f>IF(N96="nulová",J96,0)</f>
        <v>0</v>
      </c>
      <c r="BJ96" s="185" t="s">
        <v>260</v>
      </c>
      <c r="BK96" s="321">
        <f>ROUND(I96*H96,2)</f>
        <v>0</v>
      </c>
      <c r="BL96" s="185" t="s">
        <v>269</v>
      </c>
      <c r="BM96" s="320" t="s">
        <v>614</v>
      </c>
    </row>
    <row r="97" spans="2:47" s="200" customFormat="1" ht="19.5">
      <c r="B97" s="201"/>
      <c r="D97" s="327" t="s">
        <v>1247</v>
      </c>
      <c r="F97" s="460" t="s">
        <v>612</v>
      </c>
      <c r="I97" s="323"/>
      <c r="L97" s="201"/>
      <c r="M97" s="324"/>
      <c r="T97" s="225"/>
      <c r="AT97" s="185" t="s">
        <v>1247</v>
      </c>
      <c r="AU97" s="185" t="s">
        <v>266</v>
      </c>
    </row>
    <row r="98" spans="2:47" s="200" customFormat="1" ht="15">
      <c r="B98" s="201"/>
      <c r="D98" s="322" t="s">
        <v>615</v>
      </c>
      <c r="F98" s="397" t="s">
        <v>616</v>
      </c>
      <c r="I98" s="323"/>
      <c r="L98" s="201"/>
      <c r="M98" s="324"/>
      <c r="T98" s="225"/>
      <c r="AT98" s="185" t="s">
        <v>615</v>
      </c>
      <c r="AU98" s="185" t="s">
        <v>266</v>
      </c>
    </row>
    <row r="99" spans="2:51" s="325" customFormat="1" ht="15">
      <c r="B99" s="326"/>
      <c r="D99" s="327" t="s">
        <v>617</v>
      </c>
      <c r="E99" s="328" t="s">
        <v>180</v>
      </c>
      <c r="F99" s="329" t="s">
        <v>618</v>
      </c>
      <c r="H99" s="330">
        <v>10</v>
      </c>
      <c r="I99" s="331"/>
      <c r="L99" s="326"/>
      <c r="M99" s="332"/>
      <c r="T99" s="333"/>
      <c r="AT99" s="328" t="s">
        <v>617</v>
      </c>
      <c r="AU99" s="328" t="s">
        <v>266</v>
      </c>
      <c r="AV99" s="325" t="s">
        <v>266</v>
      </c>
      <c r="AW99" s="325" t="s">
        <v>531</v>
      </c>
      <c r="AX99" s="325" t="s">
        <v>260</v>
      </c>
      <c r="AY99" s="328" t="s">
        <v>608</v>
      </c>
    </row>
    <row r="100" spans="2:65" s="200" customFormat="1" ht="16.5" customHeight="1">
      <c r="B100" s="201"/>
      <c r="C100" s="309" t="s">
        <v>266</v>
      </c>
      <c r="D100" s="309" t="s">
        <v>610</v>
      </c>
      <c r="E100" s="310" t="s">
        <v>619</v>
      </c>
      <c r="F100" s="311" t="s">
        <v>1248</v>
      </c>
      <c r="G100" s="312" t="s">
        <v>261</v>
      </c>
      <c r="H100" s="313">
        <v>150</v>
      </c>
      <c r="I100" s="314"/>
      <c r="J100" s="315">
        <f>ROUND(I100*H100,2)</f>
        <v>0</v>
      </c>
      <c r="K100" s="311" t="s">
        <v>613</v>
      </c>
      <c r="L100" s="201"/>
      <c r="M100" s="316" t="s">
        <v>180</v>
      </c>
      <c r="N100" s="317" t="s">
        <v>539</v>
      </c>
      <c r="P100" s="318">
        <f>O100*H100</f>
        <v>0</v>
      </c>
      <c r="Q100" s="318">
        <v>0</v>
      </c>
      <c r="R100" s="318">
        <f>Q100*H100</f>
        <v>0</v>
      </c>
      <c r="S100" s="318">
        <v>0.32</v>
      </c>
      <c r="T100" s="319">
        <f>S100*H100</f>
        <v>48</v>
      </c>
      <c r="AR100" s="320" t="s">
        <v>269</v>
      </c>
      <c r="AT100" s="320" t="s">
        <v>610</v>
      </c>
      <c r="AU100" s="320" t="s">
        <v>266</v>
      </c>
      <c r="AY100" s="185" t="s">
        <v>608</v>
      </c>
      <c r="BE100" s="321">
        <f>IF(N100="základní",J100,0)</f>
        <v>0</v>
      </c>
      <c r="BF100" s="321">
        <f>IF(N100="snížená",J100,0)</f>
        <v>0</v>
      </c>
      <c r="BG100" s="321">
        <f>IF(N100="zákl. přenesená",J100,0)</f>
        <v>0</v>
      </c>
      <c r="BH100" s="321">
        <f>IF(N100="sníž. přenesená",J100,0)</f>
        <v>0</v>
      </c>
      <c r="BI100" s="321">
        <f>IF(N100="nulová",J100,0)</f>
        <v>0</v>
      </c>
      <c r="BJ100" s="185" t="s">
        <v>260</v>
      </c>
      <c r="BK100" s="321">
        <f>ROUND(I100*H100,2)</f>
        <v>0</v>
      </c>
      <c r="BL100" s="185" t="s">
        <v>269</v>
      </c>
      <c r="BM100" s="320" t="s">
        <v>621</v>
      </c>
    </row>
    <row r="101" spans="2:47" s="200" customFormat="1" ht="19.5">
      <c r="B101" s="201"/>
      <c r="D101" s="327" t="s">
        <v>1247</v>
      </c>
      <c r="F101" s="460" t="s">
        <v>620</v>
      </c>
      <c r="I101" s="323"/>
      <c r="L101" s="201"/>
      <c r="M101" s="324"/>
      <c r="T101" s="225"/>
      <c r="AT101" s="185" t="s">
        <v>1247</v>
      </c>
      <c r="AU101" s="185" t="s">
        <v>266</v>
      </c>
    </row>
    <row r="102" spans="2:47" s="200" customFormat="1" ht="15">
      <c r="B102" s="201"/>
      <c r="D102" s="322" t="s">
        <v>615</v>
      </c>
      <c r="F102" s="397" t="s">
        <v>622</v>
      </c>
      <c r="I102" s="323"/>
      <c r="L102" s="201"/>
      <c r="M102" s="324"/>
      <c r="T102" s="225"/>
      <c r="AT102" s="185" t="s">
        <v>615</v>
      </c>
      <c r="AU102" s="185" t="s">
        <v>266</v>
      </c>
    </row>
    <row r="103" spans="2:51" s="325" customFormat="1" ht="15">
      <c r="B103" s="326"/>
      <c r="D103" s="327" t="s">
        <v>617</v>
      </c>
      <c r="E103" s="328" t="s">
        <v>180</v>
      </c>
      <c r="F103" s="329" t="s">
        <v>623</v>
      </c>
      <c r="H103" s="330">
        <v>150</v>
      </c>
      <c r="I103" s="331"/>
      <c r="L103" s="326"/>
      <c r="M103" s="332"/>
      <c r="T103" s="333"/>
      <c r="AT103" s="328" t="s">
        <v>617</v>
      </c>
      <c r="AU103" s="328" t="s">
        <v>266</v>
      </c>
      <c r="AV103" s="325" t="s">
        <v>266</v>
      </c>
      <c r="AW103" s="325" t="s">
        <v>531</v>
      </c>
      <c r="AX103" s="325" t="s">
        <v>260</v>
      </c>
      <c r="AY103" s="328" t="s">
        <v>608</v>
      </c>
    </row>
    <row r="104" spans="2:65" s="200" customFormat="1" ht="16.5" customHeight="1">
      <c r="B104" s="201"/>
      <c r="C104" s="309" t="s">
        <v>268</v>
      </c>
      <c r="D104" s="309" t="s">
        <v>610</v>
      </c>
      <c r="E104" s="310" t="s">
        <v>624</v>
      </c>
      <c r="F104" s="311" t="s">
        <v>1249</v>
      </c>
      <c r="G104" s="312" t="s">
        <v>261</v>
      </c>
      <c r="H104" s="313">
        <v>12</v>
      </c>
      <c r="I104" s="314"/>
      <c r="J104" s="315">
        <f>ROUND(I104*H104,2)</f>
        <v>0</v>
      </c>
      <c r="K104" s="311" t="s">
        <v>613</v>
      </c>
      <c r="L104" s="201"/>
      <c r="M104" s="316" t="s">
        <v>180</v>
      </c>
      <c r="N104" s="317" t="s">
        <v>539</v>
      </c>
      <c r="P104" s="318">
        <f>O104*H104</f>
        <v>0</v>
      </c>
      <c r="Q104" s="318">
        <v>0</v>
      </c>
      <c r="R104" s="318">
        <f>Q104*H104</f>
        <v>0</v>
      </c>
      <c r="S104" s="318">
        <v>0.44</v>
      </c>
      <c r="T104" s="319">
        <f>S104*H104</f>
        <v>5.28</v>
      </c>
      <c r="AR104" s="320" t="s">
        <v>269</v>
      </c>
      <c r="AT104" s="320" t="s">
        <v>610</v>
      </c>
      <c r="AU104" s="320" t="s">
        <v>266</v>
      </c>
      <c r="AY104" s="185" t="s">
        <v>608</v>
      </c>
      <c r="BE104" s="321">
        <f>IF(N104="základní",J104,0)</f>
        <v>0</v>
      </c>
      <c r="BF104" s="321">
        <f>IF(N104="snížená",J104,0)</f>
        <v>0</v>
      </c>
      <c r="BG104" s="321">
        <f>IF(N104="zákl. přenesená",J104,0)</f>
        <v>0</v>
      </c>
      <c r="BH104" s="321">
        <f>IF(N104="sníž. přenesená",J104,0)</f>
        <v>0</v>
      </c>
      <c r="BI104" s="321">
        <f>IF(N104="nulová",J104,0)</f>
        <v>0</v>
      </c>
      <c r="BJ104" s="185" t="s">
        <v>260</v>
      </c>
      <c r="BK104" s="321">
        <f>ROUND(I104*H104,2)</f>
        <v>0</v>
      </c>
      <c r="BL104" s="185" t="s">
        <v>269</v>
      </c>
      <c r="BM104" s="320" t="s">
        <v>626</v>
      </c>
    </row>
    <row r="105" spans="2:47" s="200" customFormat="1" ht="19.5">
      <c r="B105" s="201"/>
      <c r="D105" s="327" t="s">
        <v>1247</v>
      </c>
      <c r="F105" s="460" t="s">
        <v>625</v>
      </c>
      <c r="I105" s="323"/>
      <c r="L105" s="201"/>
      <c r="M105" s="324"/>
      <c r="T105" s="225"/>
      <c r="AT105" s="185" t="s">
        <v>1247</v>
      </c>
      <c r="AU105" s="185" t="s">
        <v>266</v>
      </c>
    </row>
    <row r="106" spans="2:47" s="200" customFormat="1" ht="15">
      <c r="B106" s="201"/>
      <c r="D106" s="322" t="s">
        <v>615</v>
      </c>
      <c r="F106" s="397" t="s">
        <v>627</v>
      </c>
      <c r="I106" s="323"/>
      <c r="L106" s="201"/>
      <c r="M106" s="324"/>
      <c r="T106" s="225"/>
      <c r="AT106" s="185" t="s">
        <v>615</v>
      </c>
      <c r="AU106" s="185" t="s">
        <v>266</v>
      </c>
    </row>
    <row r="107" spans="2:51" s="325" customFormat="1" ht="15">
      <c r="B107" s="326"/>
      <c r="D107" s="327" t="s">
        <v>617</v>
      </c>
      <c r="E107" s="328" t="s">
        <v>180</v>
      </c>
      <c r="F107" s="329" t="s">
        <v>628</v>
      </c>
      <c r="H107" s="330">
        <v>12</v>
      </c>
      <c r="I107" s="331"/>
      <c r="L107" s="326"/>
      <c r="M107" s="332"/>
      <c r="T107" s="333"/>
      <c r="AT107" s="328" t="s">
        <v>617</v>
      </c>
      <c r="AU107" s="328" t="s">
        <v>266</v>
      </c>
      <c r="AV107" s="325" t="s">
        <v>266</v>
      </c>
      <c r="AW107" s="325" t="s">
        <v>531</v>
      </c>
      <c r="AX107" s="325" t="s">
        <v>260</v>
      </c>
      <c r="AY107" s="328" t="s">
        <v>608</v>
      </c>
    </row>
    <row r="108" spans="2:65" s="200" customFormat="1" ht="16.5" customHeight="1">
      <c r="B108" s="201"/>
      <c r="C108" s="309" t="s">
        <v>269</v>
      </c>
      <c r="D108" s="309" t="s">
        <v>610</v>
      </c>
      <c r="E108" s="310" t="s">
        <v>629</v>
      </c>
      <c r="F108" s="311" t="s">
        <v>1250</v>
      </c>
      <c r="G108" s="312" t="s">
        <v>261</v>
      </c>
      <c r="H108" s="313">
        <v>12</v>
      </c>
      <c r="I108" s="314"/>
      <c r="J108" s="315">
        <f>ROUND(I108*H108,2)</f>
        <v>0</v>
      </c>
      <c r="K108" s="311" t="s">
        <v>613</v>
      </c>
      <c r="L108" s="201"/>
      <c r="M108" s="316" t="s">
        <v>180</v>
      </c>
      <c r="N108" s="317" t="s">
        <v>539</v>
      </c>
      <c r="P108" s="318">
        <f>O108*H108</f>
        <v>0</v>
      </c>
      <c r="Q108" s="318">
        <v>0</v>
      </c>
      <c r="R108" s="318">
        <f>Q108*H108</f>
        <v>0</v>
      </c>
      <c r="S108" s="318">
        <v>0.22</v>
      </c>
      <c r="T108" s="319">
        <f>S108*H108</f>
        <v>2.64</v>
      </c>
      <c r="AR108" s="320" t="s">
        <v>269</v>
      </c>
      <c r="AT108" s="320" t="s">
        <v>610</v>
      </c>
      <c r="AU108" s="320" t="s">
        <v>266</v>
      </c>
      <c r="AY108" s="185" t="s">
        <v>608</v>
      </c>
      <c r="BE108" s="321">
        <f>IF(N108="základní",J108,0)</f>
        <v>0</v>
      </c>
      <c r="BF108" s="321">
        <f>IF(N108="snížená",J108,0)</f>
        <v>0</v>
      </c>
      <c r="BG108" s="321">
        <f>IF(N108="zákl. přenesená",J108,0)</f>
        <v>0</v>
      </c>
      <c r="BH108" s="321">
        <f>IF(N108="sníž. přenesená",J108,0)</f>
        <v>0</v>
      </c>
      <c r="BI108" s="321">
        <f>IF(N108="nulová",J108,0)</f>
        <v>0</v>
      </c>
      <c r="BJ108" s="185" t="s">
        <v>260</v>
      </c>
      <c r="BK108" s="321">
        <f>ROUND(I108*H108,2)</f>
        <v>0</v>
      </c>
      <c r="BL108" s="185" t="s">
        <v>269</v>
      </c>
      <c r="BM108" s="320" t="s">
        <v>631</v>
      </c>
    </row>
    <row r="109" spans="2:47" s="200" customFormat="1" ht="19.5">
      <c r="B109" s="201"/>
      <c r="D109" s="327" t="s">
        <v>1247</v>
      </c>
      <c r="F109" s="460" t="s">
        <v>630</v>
      </c>
      <c r="I109" s="323"/>
      <c r="L109" s="201"/>
      <c r="M109" s="324"/>
      <c r="T109" s="225"/>
      <c r="AT109" s="185" t="s">
        <v>1247</v>
      </c>
      <c r="AU109" s="185" t="s">
        <v>266</v>
      </c>
    </row>
    <row r="110" spans="2:47" s="200" customFormat="1" ht="15">
      <c r="B110" s="201"/>
      <c r="D110" s="322" t="s">
        <v>615</v>
      </c>
      <c r="F110" s="397" t="s">
        <v>632</v>
      </c>
      <c r="I110" s="323"/>
      <c r="L110" s="201"/>
      <c r="M110" s="324"/>
      <c r="T110" s="225"/>
      <c r="AT110" s="185" t="s">
        <v>615</v>
      </c>
      <c r="AU110" s="185" t="s">
        <v>266</v>
      </c>
    </row>
    <row r="111" spans="2:51" s="325" customFormat="1" ht="15">
      <c r="B111" s="326"/>
      <c r="D111" s="327" t="s">
        <v>617</v>
      </c>
      <c r="E111" s="328" t="s">
        <v>180</v>
      </c>
      <c r="F111" s="329" t="s">
        <v>633</v>
      </c>
      <c r="H111" s="330">
        <v>12</v>
      </c>
      <c r="I111" s="331"/>
      <c r="L111" s="326"/>
      <c r="M111" s="332"/>
      <c r="T111" s="333"/>
      <c r="AT111" s="328" t="s">
        <v>617</v>
      </c>
      <c r="AU111" s="328" t="s">
        <v>266</v>
      </c>
      <c r="AV111" s="325" t="s">
        <v>266</v>
      </c>
      <c r="AW111" s="325" t="s">
        <v>531</v>
      </c>
      <c r="AX111" s="325" t="s">
        <v>260</v>
      </c>
      <c r="AY111" s="328" t="s">
        <v>608</v>
      </c>
    </row>
    <row r="112" spans="2:65" s="200" customFormat="1" ht="21.75" customHeight="1">
      <c r="B112" s="201"/>
      <c r="C112" s="309" t="s">
        <v>270</v>
      </c>
      <c r="D112" s="309" t="s">
        <v>610</v>
      </c>
      <c r="E112" s="310" t="s">
        <v>634</v>
      </c>
      <c r="F112" s="311" t="s">
        <v>1251</v>
      </c>
      <c r="G112" s="312" t="s">
        <v>261</v>
      </c>
      <c r="H112" s="313">
        <v>75</v>
      </c>
      <c r="I112" s="314"/>
      <c r="J112" s="315">
        <f>ROUND(I112*H112,2)</f>
        <v>0</v>
      </c>
      <c r="K112" s="311" t="s">
        <v>613</v>
      </c>
      <c r="L112" s="201"/>
      <c r="M112" s="316" t="s">
        <v>180</v>
      </c>
      <c r="N112" s="317" t="s">
        <v>539</v>
      </c>
      <c r="P112" s="318">
        <f>O112*H112</f>
        <v>0</v>
      </c>
      <c r="Q112" s="318">
        <v>0</v>
      </c>
      <c r="R112" s="318">
        <f>Q112*H112</f>
        <v>0</v>
      </c>
      <c r="S112" s="318">
        <v>0.29</v>
      </c>
      <c r="T112" s="319">
        <f>S112*H112</f>
        <v>21.75</v>
      </c>
      <c r="AR112" s="320" t="s">
        <v>269</v>
      </c>
      <c r="AT112" s="320" t="s">
        <v>610</v>
      </c>
      <c r="AU112" s="320" t="s">
        <v>266</v>
      </c>
      <c r="AY112" s="185" t="s">
        <v>608</v>
      </c>
      <c r="BE112" s="321">
        <f>IF(N112="základní",J112,0)</f>
        <v>0</v>
      </c>
      <c r="BF112" s="321">
        <f>IF(N112="snížená",J112,0)</f>
        <v>0</v>
      </c>
      <c r="BG112" s="321">
        <f>IF(N112="zákl. přenesená",J112,0)</f>
        <v>0</v>
      </c>
      <c r="BH112" s="321">
        <f>IF(N112="sníž. přenesená",J112,0)</f>
        <v>0</v>
      </c>
      <c r="BI112" s="321">
        <f>IF(N112="nulová",J112,0)</f>
        <v>0</v>
      </c>
      <c r="BJ112" s="185" t="s">
        <v>260</v>
      </c>
      <c r="BK112" s="321">
        <f>ROUND(I112*H112,2)</f>
        <v>0</v>
      </c>
      <c r="BL112" s="185" t="s">
        <v>269</v>
      </c>
      <c r="BM112" s="320" t="s">
        <v>636</v>
      </c>
    </row>
    <row r="113" spans="2:47" s="200" customFormat="1" ht="19.5">
      <c r="B113" s="201"/>
      <c r="D113" s="327" t="s">
        <v>1247</v>
      </c>
      <c r="F113" s="460" t="s">
        <v>635</v>
      </c>
      <c r="I113" s="323"/>
      <c r="L113" s="201"/>
      <c r="M113" s="324"/>
      <c r="T113" s="225"/>
      <c r="AT113" s="185" t="s">
        <v>1247</v>
      </c>
      <c r="AU113" s="185" t="s">
        <v>266</v>
      </c>
    </row>
    <row r="114" spans="2:47" s="200" customFormat="1" ht="15">
      <c r="B114" s="201"/>
      <c r="D114" s="322" t="s">
        <v>615</v>
      </c>
      <c r="F114" s="397" t="s">
        <v>637</v>
      </c>
      <c r="I114" s="323"/>
      <c r="L114" s="201"/>
      <c r="M114" s="324"/>
      <c r="T114" s="225"/>
      <c r="AT114" s="185" t="s">
        <v>615</v>
      </c>
      <c r="AU114" s="185" t="s">
        <v>266</v>
      </c>
    </row>
    <row r="115" spans="2:51" s="325" customFormat="1" ht="15">
      <c r="B115" s="326"/>
      <c r="D115" s="327" t="s">
        <v>617</v>
      </c>
      <c r="E115" s="328" t="s">
        <v>180</v>
      </c>
      <c r="F115" s="329" t="s">
        <v>638</v>
      </c>
      <c r="H115" s="330">
        <v>75</v>
      </c>
      <c r="I115" s="331"/>
      <c r="L115" s="326"/>
      <c r="M115" s="332"/>
      <c r="T115" s="333"/>
      <c r="AT115" s="328" t="s">
        <v>617</v>
      </c>
      <c r="AU115" s="328" t="s">
        <v>266</v>
      </c>
      <c r="AV115" s="325" t="s">
        <v>266</v>
      </c>
      <c r="AW115" s="325" t="s">
        <v>531</v>
      </c>
      <c r="AX115" s="325" t="s">
        <v>260</v>
      </c>
      <c r="AY115" s="328" t="s">
        <v>608</v>
      </c>
    </row>
    <row r="116" spans="2:65" s="200" customFormat="1" ht="16.5" customHeight="1">
      <c r="B116" s="201"/>
      <c r="C116" s="309" t="s">
        <v>271</v>
      </c>
      <c r="D116" s="309" t="s">
        <v>610</v>
      </c>
      <c r="E116" s="310" t="s">
        <v>639</v>
      </c>
      <c r="F116" s="311" t="s">
        <v>1252</v>
      </c>
      <c r="G116" s="312" t="s">
        <v>261</v>
      </c>
      <c r="H116" s="313">
        <v>430</v>
      </c>
      <c r="I116" s="314"/>
      <c r="J116" s="315">
        <f>ROUND(I116*H116,2)</f>
        <v>0</v>
      </c>
      <c r="K116" s="311" t="s">
        <v>613</v>
      </c>
      <c r="L116" s="201"/>
      <c r="M116" s="316" t="s">
        <v>180</v>
      </c>
      <c r="N116" s="317" t="s">
        <v>539</v>
      </c>
      <c r="P116" s="318">
        <f>O116*H116</f>
        <v>0</v>
      </c>
      <c r="Q116" s="318">
        <v>0</v>
      </c>
      <c r="R116" s="318">
        <f>Q116*H116</f>
        <v>0</v>
      </c>
      <c r="S116" s="318">
        <v>0.44</v>
      </c>
      <c r="T116" s="319">
        <f>S116*H116</f>
        <v>189.2</v>
      </c>
      <c r="AR116" s="320" t="s">
        <v>269</v>
      </c>
      <c r="AT116" s="320" t="s">
        <v>610</v>
      </c>
      <c r="AU116" s="320" t="s">
        <v>266</v>
      </c>
      <c r="AY116" s="185" t="s">
        <v>608</v>
      </c>
      <c r="BE116" s="321">
        <f>IF(N116="základní",J116,0)</f>
        <v>0</v>
      </c>
      <c r="BF116" s="321">
        <f>IF(N116="snížená",J116,0)</f>
        <v>0</v>
      </c>
      <c r="BG116" s="321">
        <f>IF(N116="zákl. přenesená",J116,0)</f>
        <v>0</v>
      </c>
      <c r="BH116" s="321">
        <f>IF(N116="sníž. přenesená",J116,0)</f>
        <v>0</v>
      </c>
      <c r="BI116" s="321">
        <f>IF(N116="nulová",J116,0)</f>
        <v>0</v>
      </c>
      <c r="BJ116" s="185" t="s">
        <v>260</v>
      </c>
      <c r="BK116" s="321">
        <f>ROUND(I116*H116,2)</f>
        <v>0</v>
      </c>
      <c r="BL116" s="185" t="s">
        <v>269</v>
      </c>
      <c r="BM116" s="320" t="s">
        <v>641</v>
      </c>
    </row>
    <row r="117" spans="2:47" s="200" customFormat="1" ht="19.5">
      <c r="B117" s="201"/>
      <c r="D117" s="327" t="s">
        <v>1247</v>
      </c>
      <c r="F117" s="460" t="s">
        <v>640</v>
      </c>
      <c r="I117" s="323"/>
      <c r="L117" s="201"/>
      <c r="M117" s="324"/>
      <c r="T117" s="225"/>
      <c r="AT117" s="185" t="s">
        <v>1247</v>
      </c>
      <c r="AU117" s="185" t="s">
        <v>266</v>
      </c>
    </row>
    <row r="118" spans="2:47" s="200" customFormat="1" ht="15">
      <c r="B118" s="201"/>
      <c r="D118" s="322" t="s">
        <v>615</v>
      </c>
      <c r="F118" s="397" t="s">
        <v>642</v>
      </c>
      <c r="I118" s="323"/>
      <c r="L118" s="201"/>
      <c r="M118" s="324"/>
      <c r="T118" s="225"/>
      <c r="AT118" s="185" t="s">
        <v>615</v>
      </c>
      <c r="AU118" s="185" t="s">
        <v>266</v>
      </c>
    </row>
    <row r="119" spans="2:51" s="325" customFormat="1" ht="15">
      <c r="B119" s="326"/>
      <c r="D119" s="327" t="s">
        <v>617</v>
      </c>
      <c r="E119" s="328" t="s">
        <v>180</v>
      </c>
      <c r="F119" s="329" t="s">
        <v>643</v>
      </c>
      <c r="H119" s="330">
        <v>150</v>
      </c>
      <c r="I119" s="331"/>
      <c r="L119" s="326"/>
      <c r="M119" s="332"/>
      <c r="T119" s="333"/>
      <c r="AT119" s="328" t="s">
        <v>617</v>
      </c>
      <c r="AU119" s="328" t="s">
        <v>266</v>
      </c>
      <c r="AV119" s="325" t="s">
        <v>266</v>
      </c>
      <c r="AW119" s="325" t="s">
        <v>531</v>
      </c>
      <c r="AX119" s="325" t="s">
        <v>301</v>
      </c>
      <c r="AY119" s="328" t="s">
        <v>608</v>
      </c>
    </row>
    <row r="120" spans="2:51" s="325" customFormat="1" ht="15">
      <c r="B120" s="326"/>
      <c r="D120" s="327" t="s">
        <v>617</v>
      </c>
      <c r="E120" s="328" t="s">
        <v>180</v>
      </c>
      <c r="F120" s="329" t="s">
        <v>644</v>
      </c>
      <c r="H120" s="330">
        <v>280</v>
      </c>
      <c r="I120" s="331"/>
      <c r="L120" s="326"/>
      <c r="M120" s="332"/>
      <c r="T120" s="333"/>
      <c r="AT120" s="328" t="s">
        <v>617</v>
      </c>
      <c r="AU120" s="328" t="s">
        <v>266</v>
      </c>
      <c r="AV120" s="325" t="s">
        <v>266</v>
      </c>
      <c r="AW120" s="325" t="s">
        <v>531</v>
      </c>
      <c r="AX120" s="325" t="s">
        <v>301</v>
      </c>
      <c r="AY120" s="328" t="s">
        <v>608</v>
      </c>
    </row>
    <row r="121" spans="2:51" s="334" customFormat="1" ht="15">
      <c r="B121" s="335"/>
      <c r="D121" s="327" t="s">
        <v>617</v>
      </c>
      <c r="E121" s="336" t="s">
        <v>180</v>
      </c>
      <c r="F121" s="337" t="s">
        <v>645</v>
      </c>
      <c r="H121" s="338">
        <v>430</v>
      </c>
      <c r="I121" s="339"/>
      <c r="L121" s="335"/>
      <c r="M121" s="340"/>
      <c r="T121" s="341"/>
      <c r="AT121" s="336" t="s">
        <v>617</v>
      </c>
      <c r="AU121" s="336" t="s">
        <v>266</v>
      </c>
      <c r="AV121" s="334" t="s">
        <v>269</v>
      </c>
      <c r="AW121" s="334" t="s">
        <v>531</v>
      </c>
      <c r="AX121" s="334" t="s">
        <v>260</v>
      </c>
      <c r="AY121" s="336" t="s">
        <v>608</v>
      </c>
    </row>
    <row r="122" spans="2:65" s="200" customFormat="1" ht="16.5" customHeight="1">
      <c r="B122" s="201"/>
      <c r="C122" s="309" t="s">
        <v>272</v>
      </c>
      <c r="D122" s="309" t="s">
        <v>610</v>
      </c>
      <c r="E122" s="310" t="s">
        <v>646</v>
      </c>
      <c r="F122" s="311" t="s">
        <v>1253</v>
      </c>
      <c r="G122" s="312" t="s">
        <v>261</v>
      </c>
      <c r="H122" s="313">
        <v>647</v>
      </c>
      <c r="I122" s="314"/>
      <c r="J122" s="315">
        <f>ROUND(I122*H122,2)</f>
        <v>0</v>
      </c>
      <c r="K122" s="311" t="s">
        <v>613</v>
      </c>
      <c r="L122" s="201"/>
      <c r="M122" s="316" t="s">
        <v>180</v>
      </c>
      <c r="N122" s="317" t="s">
        <v>539</v>
      </c>
      <c r="P122" s="318">
        <f>O122*H122</f>
        <v>0</v>
      </c>
      <c r="Q122" s="318">
        <v>0</v>
      </c>
      <c r="R122" s="318">
        <f>Q122*H122</f>
        <v>0</v>
      </c>
      <c r="S122" s="318">
        <v>0.75</v>
      </c>
      <c r="T122" s="319">
        <f>S122*H122</f>
        <v>485.25</v>
      </c>
      <c r="AR122" s="320" t="s">
        <v>269</v>
      </c>
      <c r="AT122" s="320" t="s">
        <v>610</v>
      </c>
      <c r="AU122" s="320" t="s">
        <v>266</v>
      </c>
      <c r="AY122" s="185" t="s">
        <v>608</v>
      </c>
      <c r="BE122" s="321">
        <f>IF(N122="základní",J122,0)</f>
        <v>0</v>
      </c>
      <c r="BF122" s="321">
        <f>IF(N122="snížená",J122,0)</f>
        <v>0</v>
      </c>
      <c r="BG122" s="321">
        <f>IF(N122="zákl. přenesená",J122,0)</f>
        <v>0</v>
      </c>
      <c r="BH122" s="321">
        <f>IF(N122="sníž. přenesená",J122,0)</f>
        <v>0</v>
      </c>
      <c r="BI122" s="321">
        <f>IF(N122="nulová",J122,0)</f>
        <v>0</v>
      </c>
      <c r="BJ122" s="185" t="s">
        <v>260</v>
      </c>
      <c r="BK122" s="321">
        <f>ROUND(I122*H122,2)</f>
        <v>0</v>
      </c>
      <c r="BL122" s="185" t="s">
        <v>269</v>
      </c>
      <c r="BM122" s="320" t="s">
        <v>648</v>
      </c>
    </row>
    <row r="123" spans="2:47" s="200" customFormat="1" ht="19.5">
      <c r="B123" s="201"/>
      <c r="D123" s="327" t="s">
        <v>1247</v>
      </c>
      <c r="F123" s="460" t="s">
        <v>647</v>
      </c>
      <c r="I123" s="323"/>
      <c r="L123" s="201"/>
      <c r="M123" s="324"/>
      <c r="T123" s="225"/>
      <c r="AT123" s="185" t="s">
        <v>1247</v>
      </c>
      <c r="AU123" s="185" t="s">
        <v>266</v>
      </c>
    </row>
    <row r="124" spans="2:47" s="200" customFormat="1" ht="15">
      <c r="B124" s="201"/>
      <c r="D124" s="322" t="s">
        <v>615</v>
      </c>
      <c r="F124" s="397" t="s">
        <v>649</v>
      </c>
      <c r="I124" s="323"/>
      <c r="L124" s="201"/>
      <c r="M124" s="324"/>
      <c r="T124" s="225"/>
      <c r="AT124" s="185" t="s">
        <v>615</v>
      </c>
      <c r="AU124" s="185" t="s">
        <v>266</v>
      </c>
    </row>
    <row r="125" spans="2:51" s="325" customFormat="1" ht="15">
      <c r="B125" s="326"/>
      <c r="D125" s="327" t="s">
        <v>617</v>
      </c>
      <c r="E125" s="328" t="s">
        <v>180</v>
      </c>
      <c r="F125" s="329" t="s">
        <v>650</v>
      </c>
      <c r="H125" s="330">
        <v>647</v>
      </c>
      <c r="I125" s="331"/>
      <c r="L125" s="326"/>
      <c r="M125" s="332"/>
      <c r="T125" s="333"/>
      <c r="AT125" s="328" t="s">
        <v>617</v>
      </c>
      <c r="AU125" s="328" t="s">
        <v>266</v>
      </c>
      <c r="AV125" s="325" t="s">
        <v>266</v>
      </c>
      <c r="AW125" s="325" t="s">
        <v>531</v>
      </c>
      <c r="AX125" s="325" t="s">
        <v>260</v>
      </c>
      <c r="AY125" s="328" t="s">
        <v>608</v>
      </c>
    </row>
    <row r="126" spans="2:65" s="200" customFormat="1" ht="16.5" customHeight="1">
      <c r="B126" s="201"/>
      <c r="C126" s="309" t="s">
        <v>273</v>
      </c>
      <c r="D126" s="309" t="s">
        <v>610</v>
      </c>
      <c r="E126" s="310" t="s">
        <v>651</v>
      </c>
      <c r="F126" s="311" t="s">
        <v>1254</v>
      </c>
      <c r="G126" s="312" t="s">
        <v>261</v>
      </c>
      <c r="H126" s="313">
        <v>280</v>
      </c>
      <c r="I126" s="314"/>
      <c r="J126" s="315">
        <f>ROUND(I126*H126,2)</f>
        <v>0</v>
      </c>
      <c r="K126" s="311" t="s">
        <v>613</v>
      </c>
      <c r="L126" s="201"/>
      <c r="M126" s="316" t="s">
        <v>180</v>
      </c>
      <c r="N126" s="317" t="s">
        <v>539</v>
      </c>
      <c r="P126" s="318">
        <f>O126*H126</f>
        <v>0</v>
      </c>
      <c r="Q126" s="318">
        <v>0</v>
      </c>
      <c r="R126" s="318">
        <f>Q126*H126</f>
        <v>0</v>
      </c>
      <c r="S126" s="318">
        <v>0.24</v>
      </c>
      <c r="T126" s="319">
        <f>S126*H126</f>
        <v>67.2</v>
      </c>
      <c r="AR126" s="320" t="s">
        <v>269</v>
      </c>
      <c r="AT126" s="320" t="s">
        <v>610</v>
      </c>
      <c r="AU126" s="320" t="s">
        <v>266</v>
      </c>
      <c r="AY126" s="185" t="s">
        <v>608</v>
      </c>
      <c r="BE126" s="321">
        <f>IF(N126="základní",J126,0)</f>
        <v>0</v>
      </c>
      <c r="BF126" s="321">
        <f>IF(N126="snížená",J126,0)</f>
        <v>0</v>
      </c>
      <c r="BG126" s="321">
        <f>IF(N126="zákl. přenesená",J126,0)</f>
        <v>0</v>
      </c>
      <c r="BH126" s="321">
        <f>IF(N126="sníž. přenesená",J126,0)</f>
        <v>0</v>
      </c>
      <c r="BI126" s="321">
        <f>IF(N126="nulová",J126,0)</f>
        <v>0</v>
      </c>
      <c r="BJ126" s="185" t="s">
        <v>260</v>
      </c>
      <c r="BK126" s="321">
        <f>ROUND(I126*H126,2)</f>
        <v>0</v>
      </c>
      <c r="BL126" s="185" t="s">
        <v>269</v>
      </c>
      <c r="BM126" s="320" t="s">
        <v>653</v>
      </c>
    </row>
    <row r="127" spans="2:47" s="200" customFormat="1" ht="19.5">
      <c r="B127" s="201"/>
      <c r="D127" s="327" t="s">
        <v>1247</v>
      </c>
      <c r="F127" s="460" t="s">
        <v>652</v>
      </c>
      <c r="I127" s="323"/>
      <c r="L127" s="201"/>
      <c r="M127" s="324"/>
      <c r="T127" s="225"/>
      <c r="AT127" s="185" t="s">
        <v>1247</v>
      </c>
      <c r="AU127" s="185" t="s">
        <v>266</v>
      </c>
    </row>
    <row r="128" spans="2:47" s="200" customFormat="1" ht="15">
      <c r="B128" s="201"/>
      <c r="D128" s="322" t="s">
        <v>615</v>
      </c>
      <c r="F128" s="397" t="s">
        <v>654</v>
      </c>
      <c r="I128" s="323"/>
      <c r="L128" s="201"/>
      <c r="M128" s="324"/>
      <c r="T128" s="225"/>
      <c r="AT128" s="185" t="s">
        <v>615</v>
      </c>
      <c r="AU128" s="185" t="s">
        <v>266</v>
      </c>
    </row>
    <row r="129" spans="2:51" s="325" customFormat="1" ht="15">
      <c r="B129" s="326"/>
      <c r="D129" s="327" t="s">
        <v>617</v>
      </c>
      <c r="E129" s="328" t="s">
        <v>180</v>
      </c>
      <c r="F129" s="329" t="s">
        <v>655</v>
      </c>
      <c r="H129" s="330">
        <v>280</v>
      </c>
      <c r="I129" s="331"/>
      <c r="L129" s="326"/>
      <c r="M129" s="332"/>
      <c r="T129" s="333"/>
      <c r="AT129" s="328" t="s">
        <v>617</v>
      </c>
      <c r="AU129" s="328" t="s">
        <v>266</v>
      </c>
      <c r="AV129" s="325" t="s">
        <v>266</v>
      </c>
      <c r="AW129" s="325" t="s">
        <v>531</v>
      </c>
      <c r="AX129" s="325" t="s">
        <v>260</v>
      </c>
      <c r="AY129" s="328" t="s">
        <v>608</v>
      </c>
    </row>
    <row r="130" spans="2:65" s="200" customFormat="1" ht="16.5" customHeight="1">
      <c r="B130" s="201"/>
      <c r="C130" s="309" t="s">
        <v>274</v>
      </c>
      <c r="D130" s="309" t="s">
        <v>610</v>
      </c>
      <c r="E130" s="310" t="s">
        <v>656</v>
      </c>
      <c r="F130" s="311" t="s">
        <v>1255</v>
      </c>
      <c r="G130" s="312" t="s">
        <v>261</v>
      </c>
      <c r="H130" s="313">
        <v>280</v>
      </c>
      <c r="I130" s="314"/>
      <c r="J130" s="315">
        <f>ROUND(I130*H130,2)</f>
        <v>0</v>
      </c>
      <c r="K130" s="311" t="s">
        <v>613</v>
      </c>
      <c r="L130" s="201"/>
      <c r="M130" s="316" t="s">
        <v>180</v>
      </c>
      <c r="N130" s="317" t="s">
        <v>539</v>
      </c>
      <c r="P130" s="318">
        <f>O130*H130</f>
        <v>0</v>
      </c>
      <c r="Q130" s="318">
        <v>0</v>
      </c>
      <c r="R130" s="318">
        <f>Q130*H130</f>
        <v>0</v>
      </c>
      <c r="S130" s="318">
        <v>0.098</v>
      </c>
      <c r="T130" s="319">
        <f>S130*H130</f>
        <v>27.44</v>
      </c>
      <c r="AR130" s="320" t="s">
        <v>269</v>
      </c>
      <c r="AT130" s="320" t="s">
        <v>610</v>
      </c>
      <c r="AU130" s="320" t="s">
        <v>266</v>
      </c>
      <c r="AY130" s="185" t="s">
        <v>608</v>
      </c>
      <c r="BE130" s="321">
        <f>IF(N130="základní",J130,0)</f>
        <v>0</v>
      </c>
      <c r="BF130" s="321">
        <f>IF(N130="snížená",J130,0)</f>
        <v>0</v>
      </c>
      <c r="BG130" s="321">
        <f>IF(N130="zákl. přenesená",J130,0)</f>
        <v>0</v>
      </c>
      <c r="BH130" s="321">
        <f>IF(N130="sníž. přenesená",J130,0)</f>
        <v>0</v>
      </c>
      <c r="BI130" s="321">
        <f>IF(N130="nulová",J130,0)</f>
        <v>0</v>
      </c>
      <c r="BJ130" s="185" t="s">
        <v>260</v>
      </c>
      <c r="BK130" s="321">
        <f>ROUND(I130*H130,2)</f>
        <v>0</v>
      </c>
      <c r="BL130" s="185" t="s">
        <v>269</v>
      </c>
      <c r="BM130" s="320" t="s">
        <v>658</v>
      </c>
    </row>
    <row r="131" spans="2:47" s="200" customFormat="1" ht="19.5">
      <c r="B131" s="201"/>
      <c r="D131" s="327" t="s">
        <v>1247</v>
      </c>
      <c r="F131" s="460" t="s">
        <v>657</v>
      </c>
      <c r="I131" s="323"/>
      <c r="L131" s="201"/>
      <c r="M131" s="324"/>
      <c r="T131" s="225"/>
      <c r="AT131" s="185" t="s">
        <v>1247</v>
      </c>
      <c r="AU131" s="185" t="s">
        <v>266</v>
      </c>
    </row>
    <row r="132" spans="2:47" s="200" customFormat="1" ht="15">
      <c r="B132" s="201"/>
      <c r="D132" s="322" t="s">
        <v>615</v>
      </c>
      <c r="F132" s="397" t="s">
        <v>659</v>
      </c>
      <c r="I132" s="323"/>
      <c r="L132" s="201"/>
      <c r="M132" s="324"/>
      <c r="T132" s="225"/>
      <c r="AT132" s="185" t="s">
        <v>615</v>
      </c>
      <c r="AU132" s="185" t="s">
        <v>266</v>
      </c>
    </row>
    <row r="133" spans="2:51" s="325" customFormat="1" ht="15">
      <c r="B133" s="326"/>
      <c r="D133" s="327" t="s">
        <v>617</v>
      </c>
      <c r="E133" s="328" t="s">
        <v>180</v>
      </c>
      <c r="F133" s="329" t="s">
        <v>660</v>
      </c>
      <c r="H133" s="330">
        <v>280</v>
      </c>
      <c r="I133" s="331"/>
      <c r="L133" s="326"/>
      <c r="M133" s="332"/>
      <c r="T133" s="333"/>
      <c r="AT133" s="328" t="s">
        <v>617</v>
      </c>
      <c r="AU133" s="328" t="s">
        <v>266</v>
      </c>
      <c r="AV133" s="325" t="s">
        <v>266</v>
      </c>
      <c r="AW133" s="325" t="s">
        <v>531</v>
      </c>
      <c r="AX133" s="325" t="s">
        <v>260</v>
      </c>
      <c r="AY133" s="328" t="s">
        <v>608</v>
      </c>
    </row>
    <row r="134" spans="2:65" s="200" customFormat="1" ht="16.5" customHeight="1">
      <c r="B134" s="201"/>
      <c r="C134" s="309" t="s">
        <v>277</v>
      </c>
      <c r="D134" s="309" t="s">
        <v>610</v>
      </c>
      <c r="E134" s="310" t="s">
        <v>661</v>
      </c>
      <c r="F134" s="311" t="s">
        <v>1256</v>
      </c>
      <c r="G134" s="312" t="s">
        <v>261</v>
      </c>
      <c r="H134" s="313">
        <v>10</v>
      </c>
      <c r="I134" s="314"/>
      <c r="J134" s="315">
        <f>ROUND(I134*H134,2)</f>
        <v>0</v>
      </c>
      <c r="K134" s="311" t="s">
        <v>613</v>
      </c>
      <c r="L134" s="201"/>
      <c r="M134" s="316" t="s">
        <v>180</v>
      </c>
      <c r="N134" s="317" t="s">
        <v>539</v>
      </c>
      <c r="P134" s="318">
        <f>O134*H134</f>
        <v>0</v>
      </c>
      <c r="Q134" s="318">
        <v>0</v>
      </c>
      <c r="R134" s="318">
        <f>Q134*H134</f>
        <v>0</v>
      </c>
      <c r="S134" s="318">
        <v>0.58</v>
      </c>
      <c r="T134" s="319">
        <f>S134*H134</f>
        <v>5.8</v>
      </c>
      <c r="AR134" s="320" t="s">
        <v>269</v>
      </c>
      <c r="AT134" s="320" t="s">
        <v>610</v>
      </c>
      <c r="AU134" s="320" t="s">
        <v>266</v>
      </c>
      <c r="AY134" s="185" t="s">
        <v>608</v>
      </c>
      <c r="BE134" s="321">
        <f>IF(N134="základní",J134,0)</f>
        <v>0</v>
      </c>
      <c r="BF134" s="321">
        <f>IF(N134="snížená",J134,0)</f>
        <v>0</v>
      </c>
      <c r="BG134" s="321">
        <f>IF(N134="zákl. přenesená",J134,0)</f>
        <v>0</v>
      </c>
      <c r="BH134" s="321">
        <f>IF(N134="sníž. přenesená",J134,0)</f>
        <v>0</v>
      </c>
      <c r="BI134" s="321">
        <f>IF(N134="nulová",J134,0)</f>
        <v>0</v>
      </c>
      <c r="BJ134" s="185" t="s">
        <v>260</v>
      </c>
      <c r="BK134" s="321">
        <f>ROUND(I134*H134,2)</f>
        <v>0</v>
      </c>
      <c r="BL134" s="185" t="s">
        <v>269</v>
      </c>
      <c r="BM134" s="320" t="s">
        <v>663</v>
      </c>
    </row>
    <row r="135" spans="2:47" s="200" customFormat="1" ht="19.5">
      <c r="B135" s="201"/>
      <c r="D135" s="327" t="s">
        <v>1247</v>
      </c>
      <c r="F135" s="460" t="s">
        <v>662</v>
      </c>
      <c r="I135" s="323"/>
      <c r="L135" s="201"/>
      <c r="M135" s="324"/>
      <c r="T135" s="225"/>
      <c r="AT135" s="185" t="s">
        <v>1247</v>
      </c>
      <c r="AU135" s="185" t="s">
        <v>266</v>
      </c>
    </row>
    <row r="136" spans="2:47" s="200" customFormat="1" ht="15">
      <c r="B136" s="201"/>
      <c r="D136" s="322" t="s">
        <v>615</v>
      </c>
      <c r="F136" s="397" t="s">
        <v>664</v>
      </c>
      <c r="I136" s="323"/>
      <c r="L136" s="201"/>
      <c r="M136" s="324"/>
      <c r="T136" s="225"/>
      <c r="AT136" s="185" t="s">
        <v>615</v>
      </c>
      <c r="AU136" s="185" t="s">
        <v>266</v>
      </c>
    </row>
    <row r="137" spans="2:51" s="325" customFormat="1" ht="15">
      <c r="B137" s="326"/>
      <c r="D137" s="327" t="s">
        <v>617</v>
      </c>
      <c r="E137" s="328" t="s">
        <v>180</v>
      </c>
      <c r="F137" s="329" t="s">
        <v>665</v>
      </c>
      <c r="H137" s="330">
        <v>10</v>
      </c>
      <c r="I137" s="331"/>
      <c r="L137" s="326"/>
      <c r="M137" s="332"/>
      <c r="T137" s="333"/>
      <c r="AT137" s="328" t="s">
        <v>617</v>
      </c>
      <c r="AU137" s="328" t="s">
        <v>266</v>
      </c>
      <c r="AV137" s="325" t="s">
        <v>266</v>
      </c>
      <c r="AW137" s="325" t="s">
        <v>531</v>
      </c>
      <c r="AX137" s="325" t="s">
        <v>260</v>
      </c>
      <c r="AY137" s="328" t="s">
        <v>608</v>
      </c>
    </row>
    <row r="138" spans="2:65" s="200" customFormat="1" ht="21.75" customHeight="1">
      <c r="B138" s="201"/>
      <c r="C138" s="309" t="s">
        <v>257</v>
      </c>
      <c r="D138" s="309" t="s">
        <v>610</v>
      </c>
      <c r="E138" s="310" t="s">
        <v>666</v>
      </c>
      <c r="F138" s="311" t="s">
        <v>1257</v>
      </c>
      <c r="G138" s="312" t="s">
        <v>261</v>
      </c>
      <c r="H138" s="313">
        <v>75</v>
      </c>
      <c r="I138" s="314"/>
      <c r="J138" s="315">
        <f>ROUND(I138*H138,2)</f>
        <v>0</v>
      </c>
      <c r="K138" s="311" t="s">
        <v>613</v>
      </c>
      <c r="L138" s="201"/>
      <c r="M138" s="316" t="s">
        <v>180</v>
      </c>
      <c r="N138" s="317" t="s">
        <v>539</v>
      </c>
      <c r="P138" s="318">
        <f>O138*H138</f>
        <v>0</v>
      </c>
      <c r="Q138" s="318">
        <v>9E-05</v>
      </c>
      <c r="R138" s="318">
        <f>Q138*H138</f>
        <v>0.006750000000000001</v>
      </c>
      <c r="S138" s="318">
        <v>0.23</v>
      </c>
      <c r="T138" s="319">
        <f>S138*H138</f>
        <v>17.25</v>
      </c>
      <c r="AR138" s="320" t="s">
        <v>269</v>
      </c>
      <c r="AT138" s="320" t="s">
        <v>610</v>
      </c>
      <c r="AU138" s="320" t="s">
        <v>266</v>
      </c>
      <c r="AY138" s="185" t="s">
        <v>608</v>
      </c>
      <c r="BE138" s="321">
        <f>IF(N138="základní",J138,0)</f>
        <v>0</v>
      </c>
      <c r="BF138" s="321">
        <f>IF(N138="snížená",J138,0)</f>
        <v>0</v>
      </c>
      <c r="BG138" s="321">
        <f>IF(N138="zákl. přenesená",J138,0)</f>
        <v>0</v>
      </c>
      <c r="BH138" s="321">
        <f>IF(N138="sníž. přenesená",J138,0)</f>
        <v>0</v>
      </c>
      <c r="BI138" s="321">
        <f>IF(N138="nulová",J138,0)</f>
        <v>0</v>
      </c>
      <c r="BJ138" s="185" t="s">
        <v>260</v>
      </c>
      <c r="BK138" s="321">
        <f>ROUND(I138*H138,2)</f>
        <v>0</v>
      </c>
      <c r="BL138" s="185" t="s">
        <v>269</v>
      </c>
      <c r="BM138" s="320" t="s">
        <v>668</v>
      </c>
    </row>
    <row r="139" spans="2:47" s="200" customFormat="1" ht="19.5">
      <c r="B139" s="201"/>
      <c r="D139" s="327" t="s">
        <v>1247</v>
      </c>
      <c r="F139" s="460" t="s">
        <v>667</v>
      </c>
      <c r="I139" s="323"/>
      <c r="L139" s="201"/>
      <c r="M139" s="324"/>
      <c r="T139" s="225"/>
      <c r="AT139" s="185" t="s">
        <v>1247</v>
      </c>
      <c r="AU139" s="185" t="s">
        <v>266</v>
      </c>
    </row>
    <row r="140" spans="2:47" s="200" customFormat="1" ht="15">
      <c r="B140" s="201"/>
      <c r="D140" s="322" t="s">
        <v>615</v>
      </c>
      <c r="F140" s="397" t="s">
        <v>669</v>
      </c>
      <c r="I140" s="323"/>
      <c r="L140" s="201"/>
      <c r="M140" s="324"/>
      <c r="T140" s="225"/>
      <c r="AT140" s="185" t="s">
        <v>615</v>
      </c>
      <c r="AU140" s="185" t="s">
        <v>266</v>
      </c>
    </row>
    <row r="141" spans="2:51" s="325" customFormat="1" ht="15">
      <c r="B141" s="326"/>
      <c r="D141" s="327" t="s">
        <v>617</v>
      </c>
      <c r="E141" s="328" t="s">
        <v>180</v>
      </c>
      <c r="F141" s="329" t="s">
        <v>670</v>
      </c>
      <c r="H141" s="330">
        <v>75</v>
      </c>
      <c r="I141" s="331"/>
      <c r="L141" s="326"/>
      <c r="M141" s="332"/>
      <c r="T141" s="333"/>
      <c r="AT141" s="328" t="s">
        <v>617</v>
      </c>
      <c r="AU141" s="328" t="s">
        <v>266</v>
      </c>
      <c r="AV141" s="325" t="s">
        <v>266</v>
      </c>
      <c r="AW141" s="325" t="s">
        <v>531</v>
      </c>
      <c r="AX141" s="325" t="s">
        <v>260</v>
      </c>
      <c r="AY141" s="328" t="s">
        <v>608</v>
      </c>
    </row>
    <row r="142" spans="2:65" s="200" customFormat="1" ht="21.75" customHeight="1">
      <c r="B142" s="201"/>
      <c r="C142" s="309" t="s">
        <v>279</v>
      </c>
      <c r="D142" s="309" t="s">
        <v>610</v>
      </c>
      <c r="E142" s="310" t="s">
        <v>671</v>
      </c>
      <c r="F142" s="311" t="s">
        <v>1258</v>
      </c>
      <c r="G142" s="312" t="s">
        <v>261</v>
      </c>
      <c r="H142" s="313">
        <v>590</v>
      </c>
      <c r="I142" s="314"/>
      <c r="J142" s="315">
        <f>ROUND(I142*H142,2)</f>
        <v>0</v>
      </c>
      <c r="K142" s="311" t="s">
        <v>613</v>
      </c>
      <c r="L142" s="201"/>
      <c r="M142" s="316" t="s">
        <v>180</v>
      </c>
      <c r="N142" s="317" t="s">
        <v>539</v>
      </c>
      <c r="P142" s="318">
        <f>O142*H142</f>
        <v>0</v>
      </c>
      <c r="Q142" s="318">
        <v>0.00013</v>
      </c>
      <c r="R142" s="318">
        <f>Q142*H142</f>
        <v>0.07669999999999999</v>
      </c>
      <c r="S142" s="318">
        <v>0.23</v>
      </c>
      <c r="T142" s="319">
        <f>S142*H142</f>
        <v>135.70000000000002</v>
      </c>
      <c r="AR142" s="320" t="s">
        <v>269</v>
      </c>
      <c r="AT142" s="320" t="s">
        <v>610</v>
      </c>
      <c r="AU142" s="320" t="s">
        <v>266</v>
      </c>
      <c r="AY142" s="185" t="s">
        <v>608</v>
      </c>
      <c r="BE142" s="321">
        <f>IF(N142="základní",J142,0)</f>
        <v>0</v>
      </c>
      <c r="BF142" s="321">
        <f>IF(N142="snížená",J142,0)</f>
        <v>0</v>
      </c>
      <c r="BG142" s="321">
        <f>IF(N142="zákl. přenesená",J142,0)</f>
        <v>0</v>
      </c>
      <c r="BH142" s="321">
        <f>IF(N142="sníž. přenesená",J142,0)</f>
        <v>0</v>
      </c>
      <c r="BI142" s="321">
        <f>IF(N142="nulová",J142,0)</f>
        <v>0</v>
      </c>
      <c r="BJ142" s="185" t="s">
        <v>260</v>
      </c>
      <c r="BK142" s="321">
        <f>ROUND(I142*H142,2)</f>
        <v>0</v>
      </c>
      <c r="BL142" s="185" t="s">
        <v>269</v>
      </c>
      <c r="BM142" s="320" t="s">
        <v>673</v>
      </c>
    </row>
    <row r="143" spans="2:47" s="200" customFormat="1" ht="19.5">
      <c r="B143" s="201"/>
      <c r="D143" s="327" t="s">
        <v>1247</v>
      </c>
      <c r="F143" s="460" t="s">
        <v>672</v>
      </c>
      <c r="I143" s="323"/>
      <c r="L143" s="201"/>
      <c r="M143" s="324"/>
      <c r="T143" s="225"/>
      <c r="AT143" s="185" t="s">
        <v>1247</v>
      </c>
      <c r="AU143" s="185" t="s">
        <v>266</v>
      </c>
    </row>
    <row r="144" spans="2:47" s="200" customFormat="1" ht="15">
      <c r="B144" s="201"/>
      <c r="D144" s="322" t="s">
        <v>615</v>
      </c>
      <c r="F144" s="397" t="s">
        <v>674</v>
      </c>
      <c r="I144" s="323"/>
      <c r="L144" s="201"/>
      <c r="M144" s="324"/>
      <c r="T144" s="225"/>
      <c r="AT144" s="185" t="s">
        <v>615</v>
      </c>
      <c r="AU144" s="185" t="s">
        <v>266</v>
      </c>
    </row>
    <row r="145" spans="2:51" s="325" customFormat="1" ht="15">
      <c r="B145" s="326"/>
      <c r="D145" s="327" t="s">
        <v>617</v>
      </c>
      <c r="E145" s="328" t="s">
        <v>180</v>
      </c>
      <c r="F145" s="329" t="s">
        <v>675</v>
      </c>
      <c r="H145" s="330">
        <v>590</v>
      </c>
      <c r="I145" s="331"/>
      <c r="L145" s="326"/>
      <c r="M145" s="332"/>
      <c r="T145" s="333"/>
      <c r="AT145" s="328" t="s">
        <v>617</v>
      </c>
      <c r="AU145" s="328" t="s">
        <v>266</v>
      </c>
      <c r="AV145" s="325" t="s">
        <v>266</v>
      </c>
      <c r="AW145" s="325" t="s">
        <v>531</v>
      </c>
      <c r="AX145" s="325" t="s">
        <v>260</v>
      </c>
      <c r="AY145" s="328" t="s">
        <v>608</v>
      </c>
    </row>
    <row r="146" spans="2:65" s="200" customFormat="1" ht="16.5" customHeight="1">
      <c r="B146" s="201"/>
      <c r="C146" s="309" t="s">
        <v>280</v>
      </c>
      <c r="D146" s="309" t="s">
        <v>610</v>
      </c>
      <c r="E146" s="310" t="s">
        <v>676</v>
      </c>
      <c r="F146" s="311" t="s">
        <v>1259</v>
      </c>
      <c r="G146" s="312" t="s">
        <v>35</v>
      </c>
      <c r="H146" s="313">
        <v>230</v>
      </c>
      <c r="I146" s="314"/>
      <c r="J146" s="315">
        <f>ROUND(I146*H146,2)</f>
        <v>0</v>
      </c>
      <c r="K146" s="311" t="s">
        <v>613</v>
      </c>
      <c r="L146" s="201"/>
      <c r="M146" s="316" t="s">
        <v>180</v>
      </c>
      <c r="N146" s="317" t="s">
        <v>539</v>
      </c>
      <c r="P146" s="318">
        <f>O146*H146</f>
        <v>0</v>
      </c>
      <c r="Q146" s="318">
        <v>0</v>
      </c>
      <c r="R146" s="318">
        <f>Q146*H146</f>
        <v>0</v>
      </c>
      <c r="S146" s="318">
        <v>0.205</v>
      </c>
      <c r="T146" s="319">
        <f>S146*H146</f>
        <v>47.15</v>
      </c>
      <c r="AR146" s="320" t="s">
        <v>269</v>
      </c>
      <c r="AT146" s="320" t="s">
        <v>610</v>
      </c>
      <c r="AU146" s="320" t="s">
        <v>266</v>
      </c>
      <c r="AY146" s="185" t="s">
        <v>608</v>
      </c>
      <c r="BE146" s="321">
        <f>IF(N146="základní",J146,0)</f>
        <v>0</v>
      </c>
      <c r="BF146" s="321">
        <f>IF(N146="snížená",J146,0)</f>
        <v>0</v>
      </c>
      <c r="BG146" s="321">
        <f>IF(N146="zákl. přenesená",J146,0)</f>
        <v>0</v>
      </c>
      <c r="BH146" s="321">
        <f>IF(N146="sníž. přenesená",J146,0)</f>
        <v>0</v>
      </c>
      <c r="BI146" s="321">
        <f>IF(N146="nulová",J146,0)</f>
        <v>0</v>
      </c>
      <c r="BJ146" s="185" t="s">
        <v>260</v>
      </c>
      <c r="BK146" s="321">
        <f>ROUND(I146*H146,2)</f>
        <v>0</v>
      </c>
      <c r="BL146" s="185" t="s">
        <v>269</v>
      </c>
      <c r="BM146" s="320" t="s">
        <v>678</v>
      </c>
    </row>
    <row r="147" spans="2:47" s="200" customFormat="1" ht="19.5">
      <c r="B147" s="201"/>
      <c r="D147" s="327" t="s">
        <v>1247</v>
      </c>
      <c r="F147" s="460" t="s">
        <v>677</v>
      </c>
      <c r="I147" s="323"/>
      <c r="L147" s="201"/>
      <c r="M147" s="324"/>
      <c r="T147" s="225"/>
      <c r="AT147" s="185" t="s">
        <v>1247</v>
      </c>
      <c r="AU147" s="185" t="s">
        <v>266</v>
      </c>
    </row>
    <row r="148" spans="2:47" s="200" customFormat="1" ht="15">
      <c r="B148" s="201"/>
      <c r="D148" s="322" t="s">
        <v>615</v>
      </c>
      <c r="F148" s="397" t="s">
        <v>679</v>
      </c>
      <c r="I148" s="323"/>
      <c r="L148" s="201"/>
      <c r="M148" s="324"/>
      <c r="T148" s="225"/>
      <c r="AT148" s="185" t="s">
        <v>615</v>
      </c>
      <c r="AU148" s="185" t="s">
        <v>266</v>
      </c>
    </row>
    <row r="149" spans="2:51" s="325" customFormat="1" ht="15">
      <c r="B149" s="326"/>
      <c r="D149" s="327" t="s">
        <v>617</v>
      </c>
      <c r="E149" s="328" t="s">
        <v>180</v>
      </c>
      <c r="F149" s="329" t="s">
        <v>680</v>
      </c>
      <c r="H149" s="330">
        <v>230</v>
      </c>
      <c r="I149" s="331"/>
      <c r="L149" s="326"/>
      <c r="M149" s="332"/>
      <c r="T149" s="333"/>
      <c r="AT149" s="328" t="s">
        <v>617</v>
      </c>
      <c r="AU149" s="328" t="s">
        <v>266</v>
      </c>
      <c r="AV149" s="325" t="s">
        <v>266</v>
      </c>
      <c r="AW149" s="325" t="s">
        <v>531</v>
      </c>
      <c r="AX149" s="325" t="s">
        <v>260</v>
      </c>
      <c r="AY149" s="328" t="s">
        <v>608</v>
      </c>
    </row>
    <row r="150" spans="2:65" s="200" customFormat="1" ht="16.5" customHeight="1">
      <c r="B150" s="201"/>
      <c r="C150" s="309" t="s">
        <v>281</v>
      </c>
      <c r="D150" s="309" t="s">
        <v>610</v>
      </c>
      <c r="E150" s="310" t="s">
        <v>681</v>
      </c>
      <c r="F150" s="311" t="s">
        <v>1260</v>
      </c>
      <c r="G150" s="312" t="s">
        <v>35</v>
      </c>
      <c r="H150" s="313">
        <v>93</v>
      </c>
      <c r="I150" s="314"/>
      <c r="J150" s="315">
        <f>ROUND(I150*H150,2)</f>
        <v>0</v>
      </c>
      <c r="K150" s="311" t="s">
        <v>613</v>
      </c>
      <c r="L150" s="201"/>
      <c r="M150" s="316" t="s">
        <v>180</v>
      </c>
      <c r="N150" s="317" t="s">
        <v>539</v>
      </c>
      <c r="P150" s="318">
        <f>O150*H150</f>
        <v>0</v>
      </c>
      <c r="Q150" s="318">
        <v>0</v>
      </c>
      <c r="R150" s="318">
        <f>Q150*H150</f>
        <v>0</v>
      </c>
      <c r="S150" s="318">
        <v>0.115</v>
      </c>
      <c r="T150" s="319">
        <f>S150*H150</f>
        <v>10.695</v>
      </c>
      <c r="AR150" s="320" t="s">
        <v>269</v>
      </c>
      <c r="AT150" s="320" t="s">
        <v>610</v>
      </c>
      <c r="AU150" s="320" t="s">
        <v>266</v>
      </c>
      <c r="AY150" s="185" t="s">
        <v>608</v>
      </c>
      <c r="BE150" s="321">
        <f>IF(N150="základní",J150,0)</f>
        <v>0</v>
      </c>
      <c r="BF150" s="321">
        <f>IF(N150="snížená",J150,0)</f>
        <v>0</v>
      </c>
      <c r="BG150" s="321">
        <f>IF(N150="zákl. přenesená",J150,0)</f>
        <v>0</v>
      </c>
      <c r="BH150" s="321">
        <f>IF(N150="sníž. přenesená",J150,0)</f>
        <v>0</v>
      </c>
      <c r="BI150" s="321">
        <f>IF(N150="nulová",J150,0)</f>
        <v>0</v>
      </c>
      <c r="BJ150" s="185" t="s">
        <v>260</v>
      </c>
      <c r="BK150" s="321">
        <f>ROUND(I150*H150,2)</f>
        <v>0</v>
      </c>
      <c r="BL150" s="185" t="s">
        <v>269</v>
      </c>
      <c r="BM150" s="320" t="s">
        <v>683</v>
      </c>
    </row>
    <row r="151" spans="2:47" s="200" customFormat="1" ht="19.5">
      <c r="B151" s="201"/>
      <c r="D151" s="327" t="s">
        <v>1247</v>
      </c>
      <c r="F151" s="460" t="s">
        <v>682</v>
      </c>
      <c r="I151" s="323"/>
      <c r="L151" s="201"/>
      <c r="M151" s="324"/>
      <c r="T151" s="225"/>
      <c r="AT151" s="185" t="s">
        <v>1247</v>
      </c>
      <c r="AU151" s="185" t="s">
        <v>266</v>
      </c>
    </row>
    <row r="152" spans="2:47" s="200" customFormat="1" ht="15">
      <c r="B152" s="201"/>
      <c r="D152" s="322" t="s">
        <v>615</v>
      </c>
      <c r="F152" s="397" t="s">
        <v>684</v>
      </c>
      <c r="I152" s="323"/>
      <c r="L152" s="201"/>
      <c r="M152" s="324"/>
      <c r="T152" s="225"/>
      <c r="AT152" s="185" t="s">
        <v>615</v>
      </c>
      <c r="AU152" s="185" t="s">
        <v>266</v>
      </c>
    </row>
    <row r="153" spans="2:51" s="325" customFormat="1" ht="15">
      <c r="B153" s="326"/>
      <c r="D153" s="327" t="s">
        <v>617</v>
      </c>
      <c r="E153" s="328" t="s">
        <v>180</v>
      </c>
      <c r="F153" s="329" t="s">
        <v>685</v>
      </c>
      <c r="H153" s="330">
        <v>93</v>
      </c>
      <c r="I153" s="331"/>
      <c r="L153" s="326"/>
      <c r="M153" s="332"/>
      <c r="T153" s="333"/>
      <c r="AT153" s="328" t="s">
        <v>617</v>
      </c>
      <c r="AU153" s="328" t="s">
        <v>266</v>
      </c>
      <c r="AV153" s="325" t="s">
        <v>266</v>
      </c>
      <c r="AW153" s="325" t="s">
        <v>531</v>
      </c>
      <c r="AX153" s="325" t="s">
        <v>260</v>
      </c>
      <c r="AY153" s="328" t="s">
        <v>608</v>
      </c>
    </row>
    <row r="154" spans="2:65" s="200" customFormat="1" ht="21.75" customHeight="1">
      <c r="B154" s="201"/>
      <c r="C154" s="309" t="s">
        <v>282</v>
      </c>
      <c r="D154" s="309" t="s">
        <v>610</v>
      </c>
      <c r="E154" s="310" t="s">
        <v>686</v>
      </c>
      <c r="F154" s="311" t="s">
        <v>1261</v>
      </c>
      <c r="G154" s="312" t="s">
        <v>297</v>
      </c>
      <c r="H154" s="313">
        <v>196.9</v>
      </c>
      <c r="I154" s="314"/>
      <c r="J154" s="315">
        <f>ROUND(I154*H154,2)</f>
        <v>0</v>
      </c>
      <c r="K154" s="311" t="s">
        <v>613</v>
      </c>
      <c r="L154" s="201"/>
      <c r="M154" s="316" t="s">
        <v>180</v>
      </c>
      <c r="N154" s="317" t="s">
        <v>539</v>
      </c>
      <c r="P154" s="318">
        <f>O154*H154</f>
        <v>0</v>
      </c>
      <c r="Q154" s="318">
        <v>0</v>
      </c>
      <c r="R154" s="318">
        <f>Q154*H154</f>
        <v>0</v>
      </c>
      <c r="S154" s="318">
        <v>0</v>
      </c>
      <c r="T154" s="319">
        <f>S154*H154</f>
        <v>0</v>
      </c>
      <c r="AR154" s="320" t="s">
        <v>269</v>
      </c>
      <c r="AT154" s="320" t="s">
        <v>610</v>
      </c>
      <c r="AU154" s="320" t="s">
        <v>266</v>
      </c>
      <c r="AY154" s="185" t="s">
        <v>608</v>
      </c>
      <c r="BE154" s="321">
        <f>IF(N154="základní",J154,0)</f>
        <v>0</v>
      </c>
      <c r="BF154" s="321">
        <f>IF(N154="snížená",J154,0)</f>
        <v>0</v>
      </c>
      <c r="BG154" s="321">
        <f>IF(N154="zákl. přenesená",J154,0)</f>
        <v>0</v>
      </c>
      <c r="BH154" s="321">
        <f>IF(N154="sníž. přenesená",J154,0)</f>
        <v>0</v>
      </c>
      <c r="BI154" s="321">
        <f>IF(N154="nulová",J154,0)</f>
        <v>0</v>
      </c>
      <c r="BJ154" s="185" t="s">
        <v>260</v>
      </c>
      <c r="BK154" s="321">
        <f>ROUND(I154*H154,2)</f>
        <v>0</v>
      </c>
      <c r="BL154" s="185" t="s">
        <v>269</v>
      </c>
      <c r="BM154" s="320" t="s">
        <v>688</v>
      </c>
    </row>
    <row r="155" spans="2:47" s="200" customFormat="1" ht="15">
      <c r="B155" s="201"/>
      <c r="D155" s="327" t="s">
        <v>1247</v>
      </c>
      <c r="F155" s="460" t="s">
        <v>687</v>
      </c>
      <c r="I155" s="323"/>
      <c r="L155" s="201"/>
      <c r="M155" s="324"/>
      <c r="T155" s="225"/>
      <c r="AT155" s="185" t="s">
        <v>1247</v>
      </c>
      <c r="AU155" s="185" t="s">
        <v>266</v>
      </c>
    </row>
    <row r="156" spans="2:47" s="200" customFormat="1" ht="15">
      <c r="B156" s="201"/>
      <c r="D156" s="322" t="s">
        <v>615</v>
      </c>
      <c r="F156" s="397" t="s">
        <v>689</v>
      </c>
      <c r="I156" s="323"/>
      <c r="L156" s="201"/>
      <c r="M156" s="324"/>
      <c r="T156" s="225"/>
      <c r="AT156" s="185" t="s">
        <v>615</v>
      </c>
      <c r="AU156" s="185" t="s">
        <v>266</v>
      </c>
    </row>
    <row r="157" spans="2:51" s="325" customFormat="1" ht="15">
      <c r="B157" s="326"/>
      <c r="D157" s="327" t="s">
        <v>617</v>
      </c>
      <c r="E157" s="328" t="s">
        <v>180</v>
      </c>
      <c r="F157" s="329" t="s">
        <v>690</v>
      </c>
      <c r="H157" s="330">
        <v>194.1</v>
      </c>
      <c r="I157" s="331"/>
      <c r="L157" s="326"/>
      <c r="M157" s="332"/>
      <c r="T157" s="333"/>
      <c r="AT157" s="328" t="s">
        <v>617</v>
      </c>
      <c r="AU157" s="328" t="s">
        <v>266</v>
      </c>
      <c r="AV157" s="325" t="s">
        <v>266</v>
      </c>
      <c r="AW157" s="325" t="s">
        <v>531</v>
      </c>
      <c r="AX157" s="325" t="s">
        <v>301</v>
      </c>
      <c r="AY157" s="328" t="s">
        <v>608</v>
      </c>
    </row>
    <row r="158" spans="2:51" s="325" customFormat="1" ht="15">
      <c r="B158" s="326"/>
      <c r="D158" s="327" t="s">
        <v>617</v>
      </c>
      <c r="E158" s="328" t="s">
        <v>180</v>
      </c>
      <c r="F158" s="329" t="s">
        <v>691</v>
      </c>
      <c r="H158" s="330">
        <v>2.8</v>
      </c>
      <c r="I158" s="331"/>
      <c r="L158" s="326"/>
      <c r="M158" s="332"/>
      <c r="T158" s="333"/>
      <c r="AT158" s="328" t="s">
        <v>617</v>
      </c>
      <c r="AU158" s="328" t="s">
        <v>266</v>
      </c>
      <c r="AV158" s="325" t="s">
        <v>266</v>
      </c>
      <c r="AW158" s="325" t="s">
        <v>531</v>
      </c>
      <c r="AX158" s="325" t="s">
        <v>301</v>
      </c>
      <c r="AY158" s="328" t="s">
        <v>608</v>
      </c>
    </row>
    <row r="159" spans="2:51" s="334" customFormat="1" ht="15">
      <c r="B159" s="335"/>
      <c r="D159" s="327" t="s">
        <v>617</v>
      </c>
      <c r="E159" s="336" t="s">
        <v>180</v>
      </c>
      <c r="F159" s="337" t="s">
        <v>645</v>
      </c>
      <c r="H159" s="338">
        <v>196.9</v>
      </c>
      <c r="I159" s="339"/>
      <c r="L159" s="335"/>
      <c r="M159" s="340"/>
      <c r="T159" s="341"/>
      <c r="AT159" s="336" t="s">
        <v>617</v>
      </c>
      <c r="AU159" s="336" t="s">
        <v>266</v>
      </c>
      <c r="AV159" s="334" t="s">
        <v>269</v>
      </c>
      <c r="AW159" s="334" t="s">
        <v>531</v>
      </c>
      <c r="AX159" s="334" t="s">
        <v>260</v>
      </c>
      <c r="AY159" s="336" t="s">
        <v>608</v>
      </c>
    </row>
    <row r="160" spans="2:65" s="200" customFormat="1" ht="16.5" customHeight="1">
      <c r="B160" s="201"/>
      <c r="C160" s="309" t="s">
        <v>275</v>
      </c>
      <c r="D160" s="309" t="s">
        <v>610</v>
      </c>
      <c r="E160" s="310" t="s">
        <v>692</v>
      </c>
      <c r="F160" s="311" t="s">
        <v>1262</v>
      </c>
      <c r="G160" s="312" t="s">
        <v>297</v>
      </c>
      <c r="H160" s="313">
        <v>8.1</v>
      </c>
      <c r="I160" s="314"/>
      <c r="J160" s="315">
        <f>ROUND(I160*H160,2)</f>
        <v>0</v>
      </c>
      <c r="K160" s="311" t="s">
        <v>613</v>
      </c>
      <c r="L160" s="201"/>
      <c r="M160" s="316" t="s">
        <v>180</v>
      </c>
      <c r="N160" s="317" t="s">
        <v>539</v>
      </c>
      <c r="P160" s="318">
        <f>O160*H160</f>
        <v>0</v>
      </c>
      <c r="Q160" s="318">
        <v>0</v>
      </c>
      <c r="R160" s="318">
        <f>Q160*H160</f>
        <v>0</v>
      </c>
      <c r="S160" s="318">
        <v>0</v>
      </c>
      <c r="T160" s="319">
        <f>S160*H160</f>
        <v>0</v>
      </c>
      <c r="AR160" s="320" t="s">
        <v>269</v>
      </c>
      <c r="AT160" s="320" t="s">
        <v>610</v>
      </c>
      <c r="AU160" s="320" t="s">
        <v>266</v>
      </c>
      <c r="AY160" s="185" t="s">
        <v>608</v>
      </c>
      <c r="BE160" s="321">
        <f>IF(N160="základní",J160,0)</f>
        <v>0</v>
      </c>
      <c r="BF160" s="321">
        <f>IF(N160="snížená",J160,0)</f>
        <v>0</v>
      </c>
      <c r="BG160" s="321">
        <f>IF(N160="zákl. přenesená",J160,0)</f>
        <v>0</v>
      </c>
      <c r="BH160" s="321">
        <f>IF(N160="sníž. přenesená",J160,0)</f>
        <v>0</v>
      </c>
      <c r="BI160" s="321">
        <f>IF(N160="nulová",J160,0)</f>
        <v>0</v>
      </c>
      <c r="BJ160" s="185" t="s">
        <v>260</v>
      </c>
      <c r="BK160" s="321">
        <f>ROUND(I160*H160,2)</f>
        <v>0</v>
      </c>
      <c r="BL160" s="185" t="s">
        <v>269</v>
      </c>
      <c r="BM160" s="320" t="s">
        <v>694</v>
      </c>
    </row>
    <row r="161" spans="2:47" s="200" customFormat="1" ht="19.5">
      <c r="B161" s="201"/>
      <c r="D161" s="327" t="s">
        <v>1247</v>
      </c>
      <c r="F161" s="460" t="s">
        <v>693</v>
      </c>
      <c r="I161" s="323"/>
      <c r="L161" s="201"/>
      <c r="M161" s="324"/>
      <c r="T161" s="225"/>
      <c r="AT161" s="185" t="s">
        <v>1247</v>
      </c>
      <c r="AU161" s="185" t="s">
        <v>266</v>
      </c>
    </row>
    <row r="162" spans="2:47" s="200" customFormat="1" ht="15">
      <c r="B162" s="201"/>
      <c r="D162" s="322" t="s">
        <v>615</v>
      </c>
      <c r="F162" s="397" t="s">
        <v>695</v>
      </c>
      <c r="I162" s="323"/>
      <c r="L162" s="201"/>
      <c r="M162" s="324"/>
      <c r="T162" s="225"/>
      <c r="AT162" s="185" t="s">
        <v>615</v>
      </c>
      <c r="AU162" s="185" t="s">
        <v>266</v>
      </c>
    </row>
    <row r="163" spans="2:51" s="325" customFormat="1" ht="15">
      <c r="B163" s="326"/>
      <c r="D163" s="327" t="s">
        <v>617</v>
      </c>
      <c r="E163" s="328" t="s">
        <v>180</v>
      </c>
      <c r="F163" s="329" t="s">
        <v>696</v>
      </c>
      <c r="H163" s="330">
        <v>8.1</v>
      </c>
      <c r="I163" s="331"/>
      <c r="L163" s="326"/>
      <c r="M163" s="332"/>
      <c r="T163" s="333"/>
      <c r="AT163" s="328" t="s">
        <v>617</v>
      </c>
      <c r="AU163" s="328" t="s">
        <v>266</v>
      </c>
      <c r="AV163" s="325" t="s">
        <v>266</v>
      </c>
      <c r="AW163" s="325" t="s">
        <v>531</v>
      </c>
      <c r="AX163" s="325" t="s">
        <v>260</v>
      </c>
      <c r="AY163" s="328" t="s">
        <v>608</v>
      </c>
    </row>
    <row r="164" spans="2:65" s="200" customFormat="1" ht="21.75" customHeight="1">
      <c r="B164" s="201"/>
      <c r="C164" s="309" t="s">
        <v>283</v>
      </c>
      <c r="D164" s="309" t="s">
        <v>610</v>
      </c>
      <c r="E164" s="310" t="s">
        <v>697</v>
      </c>
      <c r="F164" s="311" t="s">
        <v>1263</v>
      </c>
      <c r="G164" s="312" t="s">
        <v>297</v>
      </c>
      <c r="H164" s="313">
        <v>14.4</v>
      </c>
      <c r="I164" s="314"/>
      <c r="J164" s="315">
        <f>ROUND(I164*H164,2)</f>
        <v>0</v>
      </c>
      <c r="K164" s="311" t="s">
        <v>613</v>
      </c>
      <c r="L164" s="201"/>
      <c r="M164" s="316" t="s">
        <v>180</v>
      </c>
      <c r="N164" s="317" t="s">
        <v>539</v>
      </c>
      <c r="P164" s="318">
        <f>O164*H164</f>
        <v>0</v>
      </c>
      <c r="Q164" s="318">
        <v>0</v>
      </c>
      <c r="R164" s="318">
        <f>Q164*H164</f>
        <v>0</v>
      </c>
      <c r="S164" s="318">
        <v>0</v>
      </c>
      <c r="T164" s="319">
        <f>S164*H164</f>
        <v>0</v>
      </c>
      <c r="AR164" s="320" t="s">
        <v>269</v>
      </c>
      <c r="AT164" s="320" t="s">
        <v>610</v>
      </c>
      <c r="AU164" s="320" t="s">
        <v>266</v>
      </c>
      <c r="AY164" s="185" t="s">
        <v>608</v>
      </c>
      <c r="BE164" s="321">
        <f>IF(N164="základní",J164,0)</f>
        <v>0</v>
      </c>
      <c r="BF164" s="321">
        <f>IF(N164="snížená",J164,0)</f>
        <v>0</v>
      </c>
      <c r="BG164" s="321">
        <f>IF(N164="zákl. přenesená",J164,0)</f>
        <v>0</v>
      </c>
      <c r="BH164" s="321">
        <f>IF(N164="sníž. přenesená",J164,0)</f>
        <v>0</v>
      </c>
      <c r="BI164" s="321">
        <f>IF(N164="nulová",J164,0)</f>
        <v>0</v>
      </c>
      <c r="BJ164" s="185" t="s">
        <v>260</v>
      </c>
      <c r="BK164" s="321">
        <f>ROUND(I164*H164,2)</f>
        <v>0</v>
      </c>
      <c r="BL164" s="185" t="s">
        <v>269</v>
      </c>
      <c r="BM164" s="320" t="s">
        <v>699</v>
      </c>
    </row>
    <row r="165" spans="2:47" s="200" customFormat="1" ht="19.5">
      <c r="B165" s="201"/>
      <c r="D165" s="327" t="s">
        <v>1247</v>
      </c>
      <c r="F165" s="460" t="s">
        <v>698</v>
      </c>
      <c r="I165" s="323"/>
      <c r="L165" s="201"/>
      <c r="M165" s="324"/>
      <c r="T165" s="225"/>
      <c r="AT165" s="185" t="s">
        <v>1247</v>
      </c>
      <c r="AU165" s="185" t="s">
        <v>266</v>
      </c>
    </row>
    <row r="166" spans="2:47" s="200" customFormat="1" ht="15">
      <c r="B166" s="201"/>
      <c r="D166" s="322" t="s">
        <v>615</v>
      </c>
      <c r="F166" s="397" t="s">
        <v>700</v>
      </c>
      <c r="I166" s="323"/>
      <c r="L166" s="201"/>
      <c r="M166" s="324"/>
      <c r="T166" s="225"/>
      <c r="AT166" s="185" t="s">
        <v>615</v>
      </c>
      <c r="AU166" s="185" t="s">
        <v>266</v>
      </c>
    </row>
    <row r="167" spans="2:51" s="325" customFormat="1" ht="15">
      <c r="B167" s="326"/>
      <c r="D167" s="327" t="s">
        <v>617</v>
      </c>
      <c r="E167" s="328" t="s">
        <v>180</v>
      </c>
      <c r="F167" s="329" t="s">
        <v>701</v>
      </c>
      <c r="H167" s="330">
        <v>14.4</v>
      </c>
      <c r="I167" s="331"/>
      <c r="L167" s="326"/>
      <c r="M167" s="332"/>
      <c r="T167" s="333"/>
      <c r="AT167" s="328" t="s">
        <v>617</v>
      </c>
      <c r="AU167" s="328" t="s">
        <v>266</v>
      </c>
      <c r="AV167" s="325" t="s">
        <v>266</v>
      </c>
      <c r="AW167" s="325" t="s">
        <v>531</v>
      </c>
      <c r="AX167" s="325" t="s">
        <v>260</v>
      </c>
      <c r="AY167" s="328" t="s">
        <v>608</v>
      </c>
    </row>
    <row r="168" spans="2:65" s="200" customFormat="1" ht="21.75" customHeight="1">
      <c r="B168" s="201"/>
      <c r="C168" s="309" t="s">
        <v>285</v>
      </c>
      <c r="D168" s="309" t="s">
        <v>610</v>
      </c>
      <c r="E168" s="310" t="s">
        <v>702</v>
      </c>
      <c r="F168" s="311" t="s">
        <v>1264</v>
      </c>
      <c r="G168" s="312" t="s">
        <v>297</v>
      </c>
      <c r="H168" s="313">
        <v>219.4</v>
      </c>
      <c r="I168" s="314"/>
      <c r="J168" s="315">
        <f>ROUND(I168*H168,2)</f>
        <v>0</v>
      </c>
      <c r="K168" s="311" t="s">
        <v>613</v>
      </c>
      <c r="L168" s="201"/>
      <c r="M168" s="316" t="s">
        <v>180</v>
      </c>
      <c r="N168" s="317" t="s">
        <v>539</v>
      </c>
      <c r="P168" s="318">
        <f>O168*H168</f>
        <v>0</v>
      </c>
      <c r="Q168" s="318">
        <v>0</v>
      </c>
      <c r="R168" s="318">
        <f>Q168*H168</f>
        <v>0</v>
      </c>
      <c r="S168" s="318">
        <v>0</v>
      </c>
      <c r="T168" s="319">
        <f>S168*H168</f>
        <v>0</v>
      </c>
      <c r="AR168" s="320" t="s">
        <v>269</v>
      </c>
      <c r="AT168" s="320" t="s">
        <v>610</v>
      </c>
      <c r="AU168" s="320" t="s">
        <v>266</v>
      </c>
      <c r="AY168" s="185" t="s">
        <v>608</v>
      </c>
      <c r="BE168" s="321">
        <f>IF(N168="základní",J168,0)</f>
        <v>0</v>
      </c>
      <c r="BF168" s="321">
        <f>IF(N168="snížená",J168,0)</f>
        <v>0</v>
      </c>
      <c r="BG168" s="321">
        <f>IF(N168="zákl. přenesená",J168,0)</f>
        <v>0</v>
      </c>
      <c r="BH168" s="321">
        <f>IF(N168="sníž. přenesená",J168,0)</f>
        <v>0</v>
      </c>
      <c r="BI168" s="321">
        <f>IF(N168="nulová",J168,0)</f>
        <v>0</v>
      </c>
      <c r="BJ168" s="185" t="s">
        <v>260</v>
      </c>
      <c r="BK168" s="321">
        <f>ROUND(I168*H168,2)</f>
        <v>0</v>
      </c>
      <c r="BL168" s="185" t="s">
        <v>269</v>
      </c>
      <c r="BM168" s="320" t="s">
        <v>704</v>
      </c>
    </row>
    <row r="169" spans="2:47" s="200" customFormat="1" ht="19.5">
      <c r="B169" s="201"/>
      <c r="D169" s="327" t="s">
        <v>1247</v>
      </c>
      <c r="F169" s="460" t="s">
        <v>703</v>
      </c>
      <c r="I169" s="323"/>
      <c r="L169" s="201"/>
      <c r="M169" s="324"/>
      <c r="T169" s="225"/>
      <c r="AT169" s="185" t="s">
        <v>1247</v>
      </c>
      <c r="AU169" s="185" t="s">
        <v>266</v>
      </c>
    </row>
    <row r="170" spans="2:47" s="200" customFormat="1" ht="15">
      <c r="B170" s="201"/>
      <c r="D170" s="322" t="s">
        <v>615</v>
      </c>
      <c r="F170" s="397" t="s">
        <v>705</v>
      </c>
      <c r="I170" s="323"/>
      <c r="L170" s="201"/>
      <c r="M170" s="324"/>
      <c r="T170" s="225"/>
      <c r="AT170" s="185" t="s">
        <v>615</v>
      </c>
      <c r="AU170" s="185" t="s">
        <v>266</v>
      </c>
    </row>
    <row r="171" spans="2:51" s="342" customFormat="1" ht="15">
      <c r="B171" s="343"/>
      <c r="D171" s="327" t="s">
        <v>617</v>
      </c>
      <c r="E171" s="344" t="s">
        <v>180</v>
      </c>
      <c r="F171" s="345" t="s">
        <v>706</v>
      </c>
      <c r="H171" s="344" t="s">
        <v>180</v>
      </c>
      <c r="I171" s="346"/>
      <c r="L171" s="343"/>
      <c r="M171" s="347"/>
      <c r="T171" s="348"/>
      <c r="AT171" s="344" t="s">
        <v>617</v>
      </c>
      <c r="AU171" s="344" t="s">
        <v>266</v>
      </c>
      <c r="AV171" s="342" t="s">
        <v>260</v>
      </c>
      <c r="AW171" s="342" t="s">
        <v>531</v>
      </c>
      <c r="AX171" s="342" t="s">
        <v>301</v>
      </c>
      <c r="AY171" s="344" t="s">
        <v>608</v>
      </c>
    </row>
    <row r="172" spans="2:51" s="325" customFormat="1" ht="15">
      <c r="B172" s="326"/>
      <c r="D172" s="327" t="s">
        <v>617</v>
      </c>
      <c r="E172" s="328" t="s">
        <v>180</v>
      </c>
      <c r="F172" s="329" t="s">
        <v>707</v>
      </c>
      <c r="H172" s="330">
        <v>219.4</v>
      </c>
      <c r="I172" s="331"/>
      <c r="L172" s="326"/>
      <c r="M172" s="332"/>
      <c r="T172" s="333"/>
      <c r="AT172" s="328" t="s">
        <v>617</v>
      </c>
      <c r="AU172" s="328" t="s">
        <v>266</v>
      </c>
      <c r="AV172" s="325" t="s">
        <v>266</v>
      </c>
      <c r="AW172" s="325" t="s">
        <v>531</v>
      </c>
      <c r="AX172" s="325" t="s">
        <v>260</v>
      </c>
      <c r="AY172" s="328" t="s">
        <v>608</v>
      </c>
    </row>
    <row r="173" spans="2:65" s="200" customFormat="1" ht="24.2" customHeight="1">
      <c r="B173" s="201"/>
      <c r="C173" s="309" t="s">
        <v>286</v>
      </c>
      <c r="D173" s="309" t="s">
        <v>610</v>
      </c>
      <c r="E173" s="310" t="s">
        <v>708</v>
      </c>
      <c r="F173" s="311" t="s">
        <v>1265</v>
      </c>
      <c r="G173" s="312" t="s">
        <v>297</v>
      </c>
      <c r="H173" s="313">
        <v>3291</v>
      </c>
      <c r="I173" s="314"/>
      <c r="J173" s="315">
        <f>ROUND(I173*H173,2)</f>
        <v>0</v>
      </c>
      <c r="K173" s="311" t="s">
        <v>613</v>
      </c>
      <c r="L173" s="201"/>
      <c r="M173" s="316" t="s">
        <v>180</v>
      </c>
      <c r="N173" s="317" t="s">
        <v>539</v>
      </c>
      <c r="P173" s="318">
        <f>O173*H173</f>
        <v>0</v>
      </c>
      <c r="Q173" s="318">
        <v>0</v>
      </c>
      <c r="R173" s="318">
        <f>Q173*H173</f>
        <v>0</v>
      </c>
      <c r="S173" s="318">
        <v>0</v>
      </c>
      <c r="T173" s="319">
        <f>S173*H173</f>
        <v>0</v>
      </c>
      <c r="AR173" s="320" t="s">
        <v>269</v>
      </c>
      <c r="AT173" s="320" t="s">
        <v>610</v>
      </c>
      <c r="AU173" s="320" t="s">
        <v>266</v>
      </c>
      <c r="AY173" s="185" t="s">
        <v>608</v>
      </c>
      <c r="BE173" s="321">
        <f>IF(N173="základní",J173,0)</f>
        <v>0</v>
      </c>
      <c r="BF173" s="321">
        <f>IF(N173="snížená",J173,0)</f>
        <v>0</v>
      </c>
      <c r="BG173" s="321">
        <f>IF(N173="zákl. přenesená",J173,0)</f>
        <v>0</v>
      </c>
      <c r="BH173" s="321">
        <f>IF(N173="sníž. přenesená",J173,0)</f>
        <v>0</v>
      </c>
      <c r="BI173" s="321">
        <f>IF(N173="nulová",J173,0)</f>
        <v>0</v>
      </c>
      <c r="BJ173" s="185" t="s">
        <v>260</v>
      </c>
      <c r="BK173" s="321">
        <f>ROUND(I173*H173,2)</f>
        <v>0</v>
      </c>
      <c r="BL173" s="185" t="s">
        <v>269</v>
      </c>
      <c r="BM173" s="320" t="s">
        <v>710</v>
      </c>
    </row>
    <row r="174" spans="2:47" s="200" customFormat="1" ht="19.5">
      <c r="B174" s="201"/>
      <c r="D174" s="327" t="s">
        <v>1247</v>
      </c>
      <c r="F174" s="460" t="s">
        <v>709</v>
      </c>
      <c r="I174" s="323"/>
      <c r="L174" s="201"/>
      <c r="M174" s="324"/>
      <c r="T174" s="225"/>
      <c r="AT174" s="185" t="s">
        <v>1247</v>
      </c>
      <c r="AU174" s="185" t="s">
        <v>266</v>
      </c>
    </row>
    <row r="175" spans="2:47" s="200" customFormat="1" ht="15">
      <c r="B175" s="201"/>
      <c r="D175" s="322" t="s">
        <v>615</v>
      </c>
      <c r="F175" s="397" t="s">
        <v>711</v>
      </c>
      <c r="I175" s="323"/>
      <c r="L175" s="201"/>
      <c r="M175" s="324"/>
      <c r="T175" s="225"/>
      <c r="AT175" s="185" t="s">
        <v>615</v>
      </c>
      <c r="AU175" s="185" t="s">
        <v>266</v>
      </c>
    </row>
    <row r="176" spans="2:51" s="342" customFormat="1" ht="15">
      <c r="B176" s="343"/>
      <c r="D176" s="327" t="s">
        <v>617</v>
      </c>
      <c r="E176" s="344" t="s">
        <v>180</v>
      </c>
      <c r="F176" s="345" t="s">
        <v>706</v>
      </c>
      <c r="H176" s="344" t="s">
        <v>180</v>
      </c>
      <c r="I176" s="346"/>
      <c r="L176" s="343"/>
      <c r="M176" s="347"/>
      <c r="T176" s="348"/>
      <c r="AT176" s="344" t="s">
        <v>617</v>
      </c>
      <c r="AU176" s="344" t="s">
        <v>266</v>
      </c>
      <c r="AV176" s="342" t="s">
        <v>260</v>
      </c>
      <c r="AW176" s="342" t="s">
        <v>531</v>
      </c>
      <c r="AX176" s="342" t="s">
        <v>301</v>
      </c>
      <c r="AY176" s="344" t="s">
        <v>608</v>
      </c>
    </row>
    <row r="177" spans="2:51" s="325" customFormat="1" ht="15">
      <c r="B177" s="326"/>
      <c r="D177" s="327" t="s">
        <v>617</v>
      </c>
      <c r="E177" s="328" t="s">
        <v>180</v>
      </c>
      <c r="F177" s="329" t="s">
        <v>712</v>
      </c>
      <c r="H177" s="330">
        <v>3291</v>
      </c>
      <c r="I177" s="331"/>
      <c r="L177" s="326"/>
      <c r="M177" s="332"/>
      <c r="T177" s="333"/>
      <c r="AT177" s="328" t="s">
        <v>617</v>
      </c>
      <c r="AU177" s="328" t="s">
        <v>266</v>
      </c>
      <c r="AV177" s="325" t="s">
        <v>266</v>
      </c>
      <c r="AW177" s="325" t="s">
        <v>531</v>
      </c>
      <c r="AX177" s="325" t="s">
        <v>260</v>
      </c>
      <c r="AY177" s="328" t="s">
        <v>608</v>
      </c>
    </row>
    <row r="178" spans="2:65" s="200" customFormat="1" ht="16.5" customHeight="1">
      <c r="B178" s="201"/>
      <c r="C178" s="309" t="s">
        <v>289</v>
      </c>
      <c r="D178" s="309" t="s">
        <v>610</v>
      </c>
      <c r="E178" s="310" t="s">
        <v>713</v>
      </c>
      <c r="F178" s="311" t="s">
        <v>1266</v>
      </c>
      <c r="G178" s="312" t="s">
        <v>43</v>
      </c>
      <c r="H178" s="313">
        <v>394.92</v>
      </c>
      <c r="I178" s="314"/>
      <c r="J178" s="315">
        <f>ROUND(I178*H178,2)</f>
        <v>0</v>
      </c>
      <c r="K178" s="311" t="s">
        <v>613</v>
      </c>
      <c r="L178" s="201"/>
      <c r="M178" s="316" t="s">
        <v>180</v>
      </c>
      <c r="N178" s="317" t="s">
        <v>539</v>
      </c>
      <c r="P178" s="318">
        <f>O178*H178</f>
        <v>0</v>
      </c>
      <c r="Q178" s="318">
        <v>0</v>
      </c>
      <c r="R178" s="318">
        <f>Q178*H178</f>
        <v>0</v>
      </c>
      <c r="S178" s="318">
        <v>0</v>
      </c>
      <c r="T178" s="319">
        <f>S178*H178</f>
        <v>0</v>
      </c>
      <c r="AR178" s="320" t="s">
        <v>269</v>
      </c>
      <c r="AT178" s="320" t="s">
        <v>610</v>
      </c>
      <c r="AU178" s="320" t="s">
        <v>266</v>
      </c>
      <c r="AY178" s="185" t="s">
        <v>608</v>
      </c>
      <c r="BE178" s="321">
        <f>IF(N178="základní",J178,0)</f>
        <v>0</v>
      </c>
      <c r="BF178" s="321">
        <f>IF(N178="snížená",J178,0)</f>
        <v>0</v>
      </c>
      <c r="BG178" s="321">
        <f>IF(N178="zákl. přenesená",J178,0)</f>
        <v>0</v>
      </c>
      <c r="BH178" s="321">
        <f>IF(N178="sníž. přenesená",J178,0)</f>
        <v>0</v>
      </c>
      <c r="BI178" s="321">
        <f>IF(N178="nulová",J178,0)</f>
        <v>0</v>
      </c>
      <c r="BJ178" s="185" t="s">
        <v>260</v>
      </c>
      <c r="BK178" s="321">
        <f>ROUND(I178*H178,2)</f>
        <v>0</v>
      </c>
      <c r="BL178" s="185" t="s">
        <v>269</v>
      </c>
      <c r="BM178" s="320" t="s">
        <v>715</v>
      </c>
    </row>
    <row r="179" spans="2:47" s="200" customFormat="1" ht="19.5">
      <c r="B179" s="201"/>
      <c r="D179" s="327" t="s">
        <v>1247</v>
      </c>
      <c r="F179" s="460" t="s">
        <v>714</v>
      </c>
      <c r="I179" s="323"/>
      <c r="L179" s="201"/>
      <c r="M179" s="324"/>
      <c r="T179" s="225"/>
      <c r="AT179" s="185" t="s">
        <v>1247</v>
      </c>
      <c r="AU179" s="185" t="s">
        <v>266</v>
      </c>
    </row>
    <row r="180" spans="2:47" s="200" customFormat="1" ht="15">
      <c r="B180" s="201"/>
      <c r="D180" s="322" t="s">
        <v>615</v>
      </c>
      <c r="F180" s="397" t="s">
        <v>716</v>
      </c>
      <c r="I180" s="323"/>
      <c r="L180" s="201"/>
      <c r="M180" s="324"/>
      <c r="T180" s="225"/>
      <c r="AT180" s="185" t="s">
        <v>615</v>
      </c>
      <c r="AU180" s="185" t="s">
        <v>266</v>
      </c>
    </row>
    <row r="181" spans="2:51" s="325" customFormat="1" ht="15">
      <c r="B181" s="326"/>
      <c r="D181" s="327" t="s">
        <v>617</v>
      </c>
      <c r="E181" s="328" t="s">
        <v>180</v>
      </c>
      <c r="F181" s="329" t="s">
        <v>717</v>
      </c>
      <c r="H181" s="330">
        <v>394.92</v>
      </c>
      <c r="I181" s="331"/>
      <c r="L181" s="326"/>
      <c r="M181" s="332"/>
      <c r="T181" s="333"/>
      <c r="AT181" s="328" t="s">
        <v>617</v>
      </c>
      <c r="AU181" s="328" t="s">
        <v>266</v>
      </c>
      <c r="AV181" s="325" t="s">
        <v>266</v>
      </c>
      <c r="AW181" s="325" t="s">
        <v>531</v>
      </c>
      <c r="AX181" s="325" t="s">
        <v>260</v>
      </c>
      <c r="AY181" s="328" t="s">
        <v>608</v>
      </c>
    </row>
    <row r="182" spans="2:65" s="200" customFormat="1" ht="16.5" customHeight="1">
      <c r="B182" s="201"/>
      <c r="C182" s="309" t="s">
        <v>296</v>
      </c>
      <c r="D182" s="309" t="s">
        <v>610</v>
      </c>
      <c r="E182" s="310" t="s">
        <v>718</v>
      </c>
      <c r="F182" s="311" t="s">
        <v>1267</v>
      </c>
      <c r="G182" s="312" t="s">
        <v>297</v>
      </c>
      <c r="H182" s="313">
        <v>219.4</v>
      </c>
      <c r="I182" s="314"/>
      <c r="J182" s="315">
        <f>ROUND(I182*H182,2)</f>
        <v>0</v>
      </c>
      <c r="K182" s="311" t="s">
        <v>613</v>
      </c>
      <c r="L182" s="201"/>
      <c r="M182" s="316" t="s">
        <v>180</v>
      </c>
      <c r="N182" s="317" t="s">
        <v>539</v>
      </c>
      <c r="P182" s="318">
        <f>O182*H182</f>
        <v>0</v>
      </c>
      <c r="Q182" s="318">
        <v>0</v>
      </c>
      <c r="R182" s="318">
        <f>Q182*H182</f>
        <v>0</v>
      </c>
      <c r="S182" s="318">
        <v>0</v>
      </c>
      <c r="T182" s="319">
        <f>S182*H182</f>
        <v>0</v>
      </c>
      <c r="AR182" s="320" t="s">
        <v>269</v>
      </c>
      <c r="AT182" s="320" t="s">
        <v>610</v>
      </c>
      <c r="AU182" s="320" t="s">
        <v>266</v>
      </c>
      <c r="AY182" s="185" t="s">
        <v>608</v>
      </c>
      <c r="BE182" s="321">
        <f>IF(N182="základní",J182,0)</f>
        <v>0</v>
      </c>
      <c r="BF182" s="321">
        <f>IF(N182="snížená",J182,0)</f>
        <v>0</v>
      </c>
      <c r="BG182" s="321">
        <f>IF(N182="zákl. přenesená",J182,0)</f>
        <v>0</v>
      </c>
      <c r="BH182" s="321">
        <f>IF(N182="sníž. přenesená",J182,0)</f>
        <v>0</v>
      </c>
      <c r="BI182" s="321">
        <f>IF(N182="nulová",J182,0)</f>
        <v>0</v>
      </c>
      <c r="BJ182" s="185" t="s">
        <v>260</v>
      </c>
      <c r="BK182" s="321">
        <f>ROUND(I182*H182,2)</f>
        <v>0</v>
      </c>
      <c r="BL182" s="185" t="s">
        <v>269</v>
      </c>
      <c r="BM182" s="320" t="s">
        <v>720</v>
      </c>
    </row>
    <row r="183" spans="2:47" s="200" customFormat="1" ht="15">
      <c r="B183" s="201"/>
      <c r="D183" s="327" t="s">
        <v>1247</v>
      </c>
      <c r="F183" s="460" t="s">
        <v>719</v>
      </c>
      <c r="I183" s="323"/>
      <c r="L183" s="201"/>
      <c r="M183" s="324"/>
      <c r="T183" s="225"/>
      <c r="AT183" s="185" t="s">
        <v>1247</v>
      </c>
      <c r="AU183" s="185" t="s">
        <v>266</v>
      </c>
    </row>
    <row r="184" spans="2:47" s="200" customFormat="1" ht="15">
      <c r="B184" s="201"/>
      <c r="D184" s="322" t="s">
        <v>615</v>
      </c>
      <c r="F184" s="397" t="s">
        <v>721</v>
      </c>
      <c r="I184" s="323"/>
      <c r="L184" s="201"/>
      <c r="M184" s="324"/>
      <c r="T184" s="225"/>
      <c r="AT184" s="185" t="s">
        <v>615</v>
      </c>
      <c r="AU184" s="185" t="s">
        <v>266</v>
      </c>
    </row>
    <row r="185" spans="2:51" s="325" customFormat="1" ht="15">
      <c r="B185" s="326"/>
      <c r="D185" s="327" t="s">
        <v>617</v>
      </c>
      <c r="E185" s="328" t="s">
        <v>180</v>
      </c>
      <c r="F185" s="329" t="s">
        <v>722</v>
      </c>
      <c r="H185" s="330">
        <v>219.4</v>
      </c>
      <c r="I185" s="331"/>
      <c r="L185" s="326"/>
      <c r="M185" s="332"/>
      <c r="T185" s="333"/>
      <c r="AT185" s="328" t="s">
        <v>617</v>
      </c>
      <c r="AU185" s="328" t="s">
        <v>266</v>
      </c>
      <c r="AV185" s="325" t="s">
        <v>266</v>
      </c>
      <c r="AW185" s="325" t="s">
        <v>531</v>
      </c>
      <c r="AX185" s="325" t="s">
        <v>260</v>
      </c>
      <c r="AY185" s="328" t="s">
        <v>608</v>
      </c>
    </row>
    <row r="186" spans="2:65" s="200" customFormat="1" ht="16.5" customHeight="1">
      <c r="B186" s="201"/>
      <c r="C186" s="309" t="s">
        <v>299</v>
      </c>
      <c r="D186" s="309" t="s">
        <v>610</v>
      </c>
      <c r="E186" s="310" t="s">
        <v>723</v>
      </c>
      <c r="F186" s="311" t="s">
        <v>1268</v>
      </c>
      <c r="G186" s="312" t="s">
        <v>297</v>
      </c>
      <c r="H186" s="313">
        <v>8.1</v>
      </c>
      <c r="I186" s="314"/>
      <c r="J186" s="315">
        <f>ROUND(I186*H186,2)</f>
        <v>0</v>
      </c>
      <c r="K186" s="311" t="s">
        <v>613</v>
      </c>
      <c r="L186" s="201"/>
      <c r="M186" s="316" t="s">
        <v>180</v>
      </c>
      <c r="N186" s="317" t="s">
        <v>539</v>
      </c>
      <c r="P186" s="318">
        <f>O186*H186</f>
        <v>0</v>
      </c>
      <c r="Q186" s="318">
        <v>0</v>
      </c>
      <c r="R186" s="318">
        <f>Q186*H186</f>
        <v>0</v>
      </c>
      <c r="S186" s="318">
        <v>0</v>
      </c>
      <c r="T186" s="319">
        <f>S186*H186</f>
        <v>0</v>
      </c>
      <c r="AR186" s="320" t="s">
        <v>269</v>
      </c>
      <c r="AT186" s="320" t="s">
        <v>610</v>
      </c>
      <c r="AU186" s="320" t="s">
        <v>266</v>
      </c>
      <c r="AY186" s="185" t="s">
        <v>608</v>
      </c>
      <c r="BE186" s="321">
        <f>IF(N186="základní",J186,0)</f>
        <v>0</v>
      </c>
      <c r="BF186" s="321">
        <f>IF(N186="snížená",J186,0)</f>
        <v>0</v>
      </c>
      <c r="BG186" s="321">
        <f>IF(N186="zákl. přenesená",J186,0)</f>
        <v>0</v>
      </c>
      <c r="BH186" s="321">
        <f>IF(N186="sníž. přenesená",J186,0)</f>
        <v>0</v>
      </c>
      <c r="BI186" s="321">
        <f>IF(N186="nulová",J186,0)</f>
        <v>0</v>
      </c>
      <c r="BJ186" s="185" t="s">
        <v>260</v>
      </c>
      <c r="BK186" s="321">
        <f>ROUND(I186*H186,2)</f>
        <v>0</v>
      </c>
      <c r="BL186" s="185" t="s">
        <v>269</v>
      </c>
      <c r="BM186" s="320" t="s">
        <v>725</v>
      </c>
    </row>
    <row r="187" spans="2:47" s="200" customFormat="1" ht="19.5">
      <c r="B187" s="201"/>
      <c r="D187" s="327" t="s">
        <v>1247</v>
      </c>
      <c r="F187" s="460" t="s">
        <v>724</v>
      </c>
      <c r="I187" s="323"/>
      <c r="L187" s="201"/>
      <c r="M187" s="324"/>
      <c r="T187" s="225"/>
      <c r="AT187" s="185" t="s">
        <v>1247</v>
      </c>
      <c r="AU187" s="185" t="s">
        <v>266</v>
      </c>
    </row>
    <row r="188" spans="2:47" s="200" customFormat="1" ht="15">
      <c r="B188" s="201"/>
      <c r="D188" s="322" t="s">
        <v>615</v>
      </c>
      <c r="F188" s="397" t="s">
        <v>726</v>
      </c>
      <c r="I188" s="323"/>
      <c r="L188" s="201"/>
      <c r="M188" s="324"/>
      <c r="T188" s="225"/>
      <c r="AT188" s="185" t="s">
        <v>615</v>
      </c>
      <c r="AU188" s="185" t="s">
        <v>266</v>
      </c>
    </row>
    <row r="189" spans="2:51" s="325" customFormat="1" ht="15">
      <c r="B189" s="326"/>
      <c r="D189" s="327" t="s">
        <v>617</v>
      </c>
      <c r="E189" s="328" t="s">
        <v>180</v>
      </c>
      <c r="F189" s="329" t="s">
        <v>727</v>
      </c>
      <c r="H189" s="330">
        <v>8.1</v>
      </c>
      <c r="I189" s="331"/>
      <c r="L189" s="326"/>
      <c r="M189" s="332"/>
      <c r="T189" s="333"/>
      <c r="AT189" s="328" t="s">
        <v>617</v>
      </c>
      <c r="AU189" s="328" t="s">
        <v>266</v>
      </c>
      <c r="AV189" s="325" t="s">
        <v>266</v>
      </c>
      <c r="AW189" s="325" t="s">
        <v>531</v>
      </c>
      <c r="AX189" s="325" t="s">
        <v>260</v>
      </c>
      <c r="AY189" s="328" t="s">
        <v>608</v>
      </c>
    </row>
    <row r="190" spans="2:65" s="200" customFormat="1" ht="16.5" customHeight="1">
      <c r="B190" s="201"/>
      <c r="C190" s="349" t="s">
        <v>300</v>
      </c>
      <c r="D190" s="349" t="s">
        <v>728</v>
      </c>
      <c r="E190" s="350" t="s">
        <v>729</v>
      </c>
      <c r="F190" s="351" t="s">
        <v>730</v>
      </c>
      <c r="G190" s="352" t="s">
        <v>43</v>
      </c>
      <c r="H190" s="353">
        <v>16.2</v>
      </c>
      <c r="I190" s="354"/>
      <c r="J190" s="355">
        <f>ROUND(I190*H190,2)</f>
        <v>0</v>
      </c>
      <c r="K190" s="351" t="s">
        <v>613</v>
      </c>
      <c r="L190" s="356"/>
      <c r="M190" s="357" t="s">
        <v>180</v>
      </c>
      <c r="N190" s="358" t="s">
        <v>539</v>
      </c>
      <c r="P190" s="318">
        <f>O190*H190</f>
        <v>0</v>
      </c>
      <c r="Q190" s="318">
        <v>1</v>
      </c>
      <c r="R190" s="318">
        <f>Q190*H190</f>
        <v>16.2</v>
      </c>
      <c r="S190" s="318">
        <v>0</v>
      </c>
      <c r="T190" s="319">
        <f>S190*H190</f>
        <v>0</v>
      </c>
      <c r="AR190" s="320" t="s">
        <v>273</v>
      </c>
      <c r="AT190" s="320" t="s">
        <v>728</v>
      </c>
      <c r="AU190" s="320" t="s">
        <v>266</v>
      </c>
      <c r="AY190" s="185" t="s">
        <v>608</v>
      </c>
      <c r="BE190" s="321">
        <f>IF(N190="základní",J190,0)</f>
        <v>0</v>
      </c>
      <c r="BF190" s="321">
        <f>IF(N190="snížená",J190,0)</f>
        <v>0</v>
      </c>
      <c r="BG190" s="321">
        <f>IF(N190="zákl. přenesená",J190,0)</f>
        <v>0</v>
      </c>
      <c r="BH190" s="321">
        <f>IF(N190="sníž. přenesená",J190,0)</f>
        <v>0</v>
      </c>
      <c r="BI190" s="321">
        <f>IF(N190="nulová",J190,0)</f>
        <v>0</v>
      </c>
      <c r="BJ190" s="185" t="s">
        <v>260</v>
      </c>
      <c r="BK190" s="321">
        <f>ROUND(I190*H190,2)</f>
        <v>0</v>
      </c>
      <c r="BL190" s="185" t="s">
        <v>269</v>
      </c>
      <c r="BM190" s="320" t="s">
        <v>731</v>
      </c>
    </row>
    <row r="191" spans="2:47" s="200" customFormat="1" ht="15">
      <c r="B191" s="201"/>
      <c r="D191" s="327" t="s">
        <v>1247</v>
      </c>
      <c r="F191" s="460" t="s">
        <v>730</v>
      </c>
      <c r="I191" s="323"/>
      <c r="L191" s="201"/>
      <c r="M191" s="324"/>
      <c r="T191" s="225"/>
      <c r="AT191" s="185" t="s">
        <v>1247</v>
      </c>
      <c r="AU191" s="185" t="s">
        <v>266</v>
      </c>
    </row>
    <row r="192" spans="2:51" s="325" customFormat="1" ht="15">
      <c r="B192" s="326"/>
      <c r="D192" s="327" t="s">
        <v>617</v>
      </c>
      <c r="E192" s="328" t="s">
        <v>180</v>
      </c>
      <c r="F192" s="329" t="s">
        <v>732</v>
      </c>
      <c r="H192" s="330">
        <v>16.2</v>
      </c>
      <c r="I192" s="331"/>
      <c r="L192" s="326"/>
      <c r="M192" s="332"/>
      <c r="T192" s="333"/>
      <c r="AT192" s="328" t="s">
        <v>617</v>
      </c>
      <c r="AU192" s="328" t="s">
        <v>266</v>
      </c>
      <c r="AV192" s="325" t="s">
        <v>266</v>
      </c>
      <c r="AW192" s="325" t="s">
        <v>531</v>
      </c>
      <c r="AX192" s="325" t="s">
        <v>260</v>
      </c>
      <c r="AY192" s="328" t="s">
        <v>608</v>
      </c>
    </row>
    <row r="193" spans="2:65" s="200" customFormat="1" ht="16.5" customHeight="1">
      <c r="B193" s="201"/>
      <c r="C193" s="309" t="s">
        <v>304</v>
      </c>
      <c r="D193" s="309" t="s">
        <v>610</v>
      </c>
      <c r="E193" s="310" t="s">
        <v>733</v>
      </c>
      <c r="F193" s="311" t="s">
        <v>1269</v>
      </c>
      <c r="G193" s="312" t="s">
        <v>261</v>
      </c>
      <c r="H193" s="313">
        <v>1181</v>
      </c>
      <c r="I193" s="314"/>
      <c r="J193" s="315">
        <f>ROUND(I193*H193,2)</f>
        <v>0</v>
      </c>
      <c r="K193" s="311" t="s">
        <v>613</v>
      </c>
      <c r="L193" s="201"/>
      <c r="M193" s="316" t="s">
        <v>180</v>
      </c>
      <c r="N193" s="317" t="s">
        <v>539</v>
      </c>
      <c r="P193" s="318">
        <f>O193*H193</f>
        <v>0</v>
      </c>
      <c r="Q193" s="318">
        <v>0</v>
      </c>
      <c r="R193" s="318">
        <f>Q193*H193</f>
        <v>0</v>
      </c>
      <c r="S193" s="318">
        <v>0</v>
      </c>
      <c r="T193" s="319">
        <f>S193*H193</f>
        <v>0</v>
      </c>
      <c r="AR193" s="320" t="s">
        <v>269</v>
      </c>
      <c r="AT193" s="320" t="s">
        <v>610</v>
      </c>
      <c r="AU193" s="320" t="s">
        <v>266</v>
      </c>
      <c r="AY193" s="185" t="s">
        <v>608</v>
      </c>
      <c r="BE193" s="321">
        <f>IF(N193="základní",J193,0)</f>
        <v>0</v>
      </c>
      <c r="BF193" s="321">
        <f>IF(N193="snížená",J193,0)</f>
        <v>0</v>
      </c>
      <c r="BG193" s="321">
        <f>IF(N193="zákl. přenesená",J193,0)</f>
        <v>0</v>
      </c>
      <c r="BH193" s="321">
        <f>IF(N193="sníž. přenesená",J193,0)</f>
        <v>0</v>
      </c>
      <c r="BI193" s="321">
        <f>IF(N193="nulová",J193,0)</f>
        <v>0</v>
      </c>
      <c r="BJ193" s="185" t="s">
        <v>260</v>
      </c>
      <c r="BK193" s="321">
        <f>ROUND(I193*H193,2)</f>
        <v>0</v>
      </c>
      <c r="BL193" s="185" t="s">
        <v>269</v>
      </c>
      <c r="BM193" s="320" t="s">
        <v>735</v>
      </c>
    </row>
    <row r="194" spans="2:47" s="200" customFormat="1" ht="15">
      <c r="B194" s="201"/>
      <c r="D194" s="327" t="s">
        <v>1247</v>
      </c>
      <c r="F194" s="460" t="s">
        <v>734</v>
      </c>
      <c r="I194" s="323"/>
      <c r="L194" s="201"/>
      <c r="M194" s="324"/>
      <c r="T194" s="225"/>
      <c r="AT194" s="185" t="s">
        <v>1247</v>
      </c>
      <c r="AU194" s="185" t="s">
        <v>266</v>
      </c>
    </row>
    <row r="195" spans="2:47" s="200" customFormat="1" ht="15">
      <c r="B195" s="201"/>
      <c r="D195" s="322" t="s">
        <v>615</v>
      </c>
      <c r="F195" s="397" t="s">
        <v>736</v>
      </c>
      <c r="I195" s="323"/>
      <c r="L195" s="201"/>
      <c r="M195" s="324"/>
      <c r="T195" s="225"/>
      <c r="AT195" s="185" t="s">
        <v>615</v>
      </c>
      <c r="AU195" s="185" t="s">
        <v>266</v>
      </c>
    </row>
    <row r="196" spans="2:51" s="325" customFormat="1" ht="15">
      <c r="B196" s="326"/>
      <c r="D196" s="327" t="s">
        <v>617</v>
      </c>
      <c r="E196" s="328" t="s">
        <v>180</v>
      </c>
      <c r="F196" s="329" t="s">
        <v>737</v>
      </c>
      <c r="H196" s="330">
        <v>1181</v>
      </c>
      <c r="I196" s="331"/>
      <c r="L196" s="326"/>
      <c r="M196" s="332"/>
      <c r="T196" s="333"/>
      <c r="AT196" s="328" t="s">
        <v>617</v>
      </c>
      <c r="AU196" s="328" t="s">
        <v>266</v>
      </c>
      <c r="AV196" s="325" t="s">
        <v>266</v>
      </c>
      <c r="AW196" s="325" t="s">
        <v>531</v>
      </c>
      <c r="AX196" s="325" t="s">
        <v>260</v>
      </c>
      <c r="AY196" s="328" t="s">
        <v>608</v>
      </c>
    </row>
    <row r="197" spans="2:63" s="296" customFormat="1" ht="22.9" customHeight="1">
      <c r="B197" s="297"/>
      <c r="D197" s="298" t="s">
        <v>565</v>
      </c>
      <c r="E197" s="307" t="s">
        <v>266</v>
      </c>
      <c r="F197" s="307" t="s">
        <v>738</v>
      </c>
      <c r="I197" s="300"/>
      <c r="J197" s="308">
        <f>BK197</f>
        <v>0</v>
      </c>
      <c r="L197" s="297"/>
      <c r="M197" s="302"/>
      <c r="P197" s="303">
        <f>SUM(P198:P222)</f>
        <v>0</v>
      </c>
      <c r="R197" s="303">
        <f>SUM(R198:R222)</f>
        <v>25.043792800000002</v>
      </c>
      <c r="T197" s="304">
        <f>SUM(T198:T222)</f>
        <v>0</v>
      </c>
      <c r="AR197" s="298" t="s">
        <v>260</v>
      </c>
      <c r="AT197" s="305" t="s">
        <v>565</v>
      </c>
      <c r="AU197" s="305" t="s">
        <v>260</v>
      </c>
      <c r="AY197" s="298" t="s">
        <v>608</v>
      </c>
      <c r="BK197" s="306">
        <f>SUM(BK198:BK222)</f>
        <v>0</v>
      </c>
    </row>
    <row r="198" spans="2:65" s="200" customFormat="1" ht="16.5" customHeight="1">
      <c r="B198" s="201"/>
      <c r="C198" s="309" t="s">
        <v>307</v>
      </c>
      <c r="D198" s="309" t="s">
        <v>610</v>
      </c>
      <c r="E198" s="310" t="s">
        <v>739</v>
      </c>
      <c r="F198" s="311" t="s">
        <v>1270</v>
      </c>
      <c r="G198" s="312" t="s">
        <v>297</v>
      </c>
      <c r="H198" s="313">
        <v>0.42</v>
      </c>
      <c r="I198" s="314"/>
      <c r="J198" s="315">
        <f>ROUND(I198*H198,2)</f>
        <v>0</v>
      </c>
      <c r="K198" s="311" t="s">
        <v>613</v>
      </c>
      <c r="L198" s="201"/>
      <c r="M198" s="316" t="s">
        <v>180</v>
      </c>
      <c r="N198" s="317" t="s">
        <v>539</v>
      </c>
      <c r="P198" s="318">
        <f>O198*H198</f>
        <v>0</v>
      </c>
      <c r="Q198" s="318">
        <v>0</v>
      </c>
      <c r="R198" s="318">
        <f>Q198*H198</f>
        <v>0</v>
      </c>
      <c r="S198" s="318">
        <v>0</v>
      </c>
      <c r="T198" s="319">
        <f>S198*H198</f>
        <v>0</v>
      </c>
      <c r="AR198" s="320" t="s">
        <v>269</v>
      </c>
      <c r="AT198" s="320" t="s">
        <v>610</v>
      </c>
      <c r="AU198" s="320" t="s">
        <v>266</v>
      </c>
      <c r="AY198" s="185" t="s">
        <v>608</v>
      </c>
      <c r="BE198" s="321">
        <f>IF(N198="základní",J198,0)</f>
        <v>0</v>
      </c>
      <c r="BF198" s="321">
        <f>IF(N198="snížená",J198,0)</f>
        <v>0</v>
      </c>
      <c r="BG198" s="321">
        <f>IF(N198="zákl. přenesená",J198,0)</f>
        <v>0</v>
      </c>
      <c r="BH198" s="321">
        <f>IF(N198="sníž. přenesená",J198,0)</f>
        <v>0</v>
      </c>
      <c r="BI198" s="321">
        <f>IF(N198="nulová",J198,0)</f>
        <v>0</v>
      </c>
      <c r="BJ198" s="185" t="s">
        <v>260</v>
      </c>
      <c r="BK198" s="321">
        <f>ROUND(I198*H198,2)</f>
        <v>0</v>
      </c>
      <c r="BL198" s="185" t="s">
        <v>269</v>
      </c>
      <c r="BM198" s="320" t="s">
        <v>741</v>
      </c>
    </row>
    <row r="199" spans="2:47" s="200" customFormat="1" ht="19.5">
      <c r="B199" s="201"/>
      <c r="D199" s="327" t="s">
        <v>1247</v>
      </c>
      <c r="F199" s="460" t="s">
        <v>740</v>
      </c>
      <c r="I199" s="323"/>
      <c r="L199" s="201"/>
      <c r="M199" s="324"/>
      <c r="T199" s="225"/>
      <c r="AT199" s="185" t="s">
        <v>1247</v>
      </c>
      <c r="AU199" s="185" t="s">
        <v>266</v>
      </c>
    </row>
    <row r="200" spans="2:47" s="200" customFormat="1" ht="15">
      <c r="B200" s="201"/>
      <c r="D200" s="322" t="s">
        <v>615</v>
      </c>
      <c r="F200" s="397" t="s">
        <v>742</v>
      </c>
      <c r="I200" s="323"/>
      <c r="L200" s="201"/>
      <c r="M200" s="324"/>
      <c r="T200" s="225"/>
      <c r="AT200" s="185" t="s">
        <v>615</v>
      </c>
      <c r="AU200" s="185" t="s">
        <v>266</v>
      </c>
    </row>
    <row r="201" spans="2:51" s="325" customFormat="1" ht="15">
      <c r="B201" s="326"/>
      <c r="D201" s="327" t="s">
        <v>617</v>
      </c>
      <c r="E201" s="328" t="s">
        <v>180</v>
      </c>
      <c r="F201" s="329" t="s">
        <v>1271</v>
      </c>
      <c r="H201" s="330">
        <v>0.42</v>
      </c>
      <c r="I201" s="331"/>
      <c r="L201" s="326"/>
      <c r="M201" s="332"/>
      <c r="T201" s="333"/>
      <c r="AT201" s="328" t="s">
        <v>617</v>
      </c>
      <c r="AU201" s="328" t="s">
        <v>266</v>
      </c>
      <c r="AV201" s="325" t="s">
        <v>266</v>
      </c>
      <c r="AW201" s="325" t="s">
        <v>531</v>
      </c>
      <c r="AX201" s="325" t="s">
        <v>260</v>
      </c>
      <c r="AY201" s="328" t="s">
        <v>608</v>
      </c>
    </row>
    <row r="202" spans="2:65" s="200" customFormat="1" ht="16.5" customHeight="1">
      <c r="B202" s="201"/>
      <c r="C202" s="309" t="s">
        <v>310</v>
      </c>
      <c r="D202" s="309" t="s">
        <v>610</v>
      </c>
      <c r="E202" s="310" t="s">
        <v>743</v>
      </c>
      <c r="F202" s="311" t="s">
        <v>1272</v>
      </c>
      <c r="G202" s="312" t="s">
        <v>261</v>
      </c>
      <c r="H202" s="313">
        <v>226.8</v>
      </c>
      <c r="I202" s="314"/>
      <c r="J202" s="315">
        <f>ROUND(I202*H202,2)</f>
        <v>0</v>
      </c>
      <c r="K202" s="311" t="s">
        <v>613</v>
      </c>
      <c r="L202" s="201"/>
      <c r="M202" s="316" t="s">
        <v>180</v>
      </c>
      <c r="N202" s="317" t="s">
        <v>539</v>
      </c>
      <c r="P202" s="318">
        <f>O202*H202</f>
        <v>0</v>
      </c>
      <c r="Q202" s="318">
        <v>0.00031</v>
      </c>
      <c r="R202" s="318">
        <f>Q202*H202</f>
        <v>0.07030800000000001</v>
      </c>
      <c r="S202" s="318">
        <v>0</v>
      </c>
      <c r="T202" s="319">
        <f>S202*H202</f>
        <v>0</v>
      </c>
      <c r="AR202" s="320" t="s">
        <v>269</v>
      </c>
      <c r="AT202" s="320" t="s">
        <v>610</v>
      </c>
      <c r="AU202" s="320" t="s">
        <v>266</v>
      </c>
      <c r="AY202" s="185" t="s">
        <v>608</v>
      </c>
      <c r="BE202" s="321">
        <f>IF(N202="základní",J202,0)</f>
        <v>0</v>
      </c>
      <c r="BF202" s="321">
        <f>IF(N202="snížená",J202,0)</f>
        <v>0</v>
      </c>
      <c r="BG202" s="321">
        <f>IF(N202="zákl. přenesená",J202,0)</f>
        <v>0</v>
      </c>
      <c r="BH202" s="321">
        <f>IF(N202="sníž. přenesená",J202,0)</f>
        <v>0</v>
      </c>
      <c r="BI202" s="321">
        <f>IF(N202="nulová",J202,0)</f>
        <v>0</v>
      </c>
      <c r="BJ202" s="185" t="s">
        <v>260</v>
      </c>
      <c r="BK202" s="321">
        <f>ROUND(I202*H202,2)</f>
        <v>0</v>
      </c>
      <c r="BL202" s="185" t="s">
        <v>269</v>
      </c>
      <c r="BM202" s="320" t="s">
        <v>745</v>
      </c>
    </row>
    <row r="203" spans="2:47" s="200" customFormat="1" ht="19.5">
      <c r="B203" s="201"/>
      <c r="D203" s="327" t="s">
        <v>1247</v>
      </c>
      <c r="F203" s="460" t="s">
        <v>744</v>
      </c>
      <c r="I203" s="323"/>
      <c r="L203" s="201"/>
      <c r="M203" s="324"/>
      <c r="T203" s="225"/>
      <c r="AT203" s="185" t="s">
        <v>1247</v>
      </c>
      <c r="AU203" s="185" t="s">
        <v>266</v>
      </c>
    </row>
    <row r="204" spans="2:47" s="200" customFormat="1" ht="15">
      <c r="B204" s="201"/>
      <c r="D204" s="322" t="s">
        <v>615</v>
      </c>
      <c r="F204" s="397" t="s">
        <v>746</v>
      </c>
      <c r="I204" s="323"/>
      <c r="L204" s="201"/>
      <c r="M204" s="324"/>
      <c r="T204" s="225"/>
      <c r="AT204" s="185" t="s">
        <v>615</v>
      </c>
      <c r="AU204" s="185" t="s">
        <v>266</v>
      </c>
    </row>
    <row r="205" spans="2:51" s="325" customFormat="1" ht="15">
      <c r="B205" s="326"/>
      <c r="D205" s="327" t="s">
        <v>617</v>
      </c>
      <c r="E205" s="328" t="s">
        <v>180</v>
      </c>
      <c r="F205" s="329" t="s">
        <v>747</v>
      </c>
      <c r="H205" s="330">
        <v>216</v>
      </c>
      <c r="I205" s="331"/>
      <c r="L205" s="326"/>
      <c r="M205" s="332"/>
      <c r="T205" s="333"/>
      <c r="AT205" s="328" t="s">
        <v>617</v>
      </c>
      <c r="AU205" s="328" t="s">
        <v>266</v>
      </c>
      <c r="AV205" s="325" t="s">
        <v>266</v>
      </c>
      <c r="AW205" s="325" t="s">
        <v>531</v>
      </c>
      <c r="AX205" s="325" t="s">
        <v>301</v>
      </c>
      <c r="AY205" s="328" t="s">
        <v>608</v>
      </c>
    </row>
    <row r="206" spans="2:51" s="325" customFormat="1" ht="15">
      <c r="B206" s="326"/>
      <c r="D206" s="327" t="s">
        <v>617</v>
      </c>
      <c r="E206" s="328" t="s">
        <v>180</v>
      </c>
      <c r="F206" s="329" t="s">
        <v>748</v>
      </c>
      <c r="H206" s="330">
        <v>10.8</v>
      </c>
      <c r="I206" s="331"/>
      <c r="L206" s="326"/>
      <c r="M206" s="332"/>
      <c r="T206" s="333"/>
      <c r="AT206" s="328" t="s">
        <v>617</v>
      </c>
      <c r="AU206" s="328" t="s">
        <v>266</v>
      </c>
      <c r="AV206" s="325" t="s">
        <v>266</v>
      </c>
      <c r="AW206" s="325" t="s">
        <v>531</v>
      </c>
      <c r="AX206" s="325" t="s">
        <v>301</v>
      </c>
      <c r="AY206" s="328" t="s">
        <v>608</v>
      </c>
    </row>
    <row r="207" spans="2:51" s="334" customFormat="1" ht="15">
      <c r="B207" s="335"/>
      <c r="D207" s="327" t="s">
        <v>617</v>
      </c>
      <c r="E207" s="336" t="s">
        <v>180</v>
      </c>
      <c r="F207" s="337" t="s">
        <v>645</v>
      </c>
      <c r="H207" s="338">
        <v>226.8</v>
      </c>
      <c r="I207" s="339"/>
      <c r="L207" s="335"/>
      <c r="M207" s="340"/>
      <c r="T207" s="341"/>
      <c r="AT207" s="336" t="s">
        <v>617</v>
      </c>
      <c r="AU207" s="336" t="s">
        <v>266</v>
      </c>
      <c r="AV207" s="334" t="s">
        <v>269</v>
      </c>
      <c r="AW207" s="334" t="s">
        <v>531</v>
      </c>
      <c r="AX207" s="334" t="s">
        <v>260</v>
      </c>
      <c r="AY207" s="336" t="s">
        <v>608</v>
      </c>
    </row>
    <row r="208" spans="2:65" s="200" customFormat="1" ht="16.5" customHeight="1">
      <c r="B208" s="201"/>
      <c r="C208" s="349" t="s">
        <v>312</v>
      </c>
      <c r="D208" s="349" t="s">
        <v>728</v>
      </c>
      <c r="E208" s="350" t="s">
        <v>749</v>
      </c>
      <c r="F208" s="351" t="s">
        <v>750</v>
      </c>
      <c r="G208" s="352" t="s">
        <v>261</v>
      </c>
      <c r="H208" s="353">
        <v>1035.016</v>
      </c>
      <c r="I208" s="354"/>
      <c r="J208" s="355">
        <f>ROUND(I208*H208,2)</f>
        <v>0</v>
      </c>
      <c r="K208" s="351" t="s">
        <v>613</v>
      </c>
      <c r="L208" s="356"/>
      <c r="M208" s="357" t="s">
        <v>180</v>
      </c>
      <c r="N208" s="358" t="s">
        <v>539</v>
      </c>
      <c r="P208" s="318">
        <f>O208*H208</f>
        <v>0</v>
      </c>
      <c r="Q208" s="318">
        <v>0.0003</v>
      </c>
      <c r="R208" s="318">
        <f>Q208*H208</f>
        <v>0.31050479999999997</v>
      </c>
      <c r="S208" s="318">
        <v>0</v>
      </c>
      <c r="T208" s="319">
        <f>S208*H208</f>
        <v>0</v>
      </c>
      <c r="AR208" s="320" t="s">
        <v>273</v>
      </c>
      <c r="AT208" s="320" t="s">
        <v>728</v>
      </c>
      <c r="AU208" s="320" t="s">
        <v>266</v>
      </c>
      <c r="AY208" s="185" t="s">
        <v>608</v>
      </c>
      <c r="BE208" s="321">
        <f>IF(N208="základní",J208,0)</f>
        <v>0</v>
      </c>
      <c r="BF208" s="321">
        <f>IF(N208="snížená",J208,0)</f>
        <v>0</v>
      </c>
      <c r="BG208" s="321">
        <f>IF(N208="zákl. přenesená",J208,0)</f>
        <v>0</v>
      </c>
      <c r="BH208" s="321">
        <f>IF(N208="sníž. přenesená",J208,0)</f>
        <v>0</v>
      </c>
      <c r="BI208" s="321">
        <f>IF(N208="nulová",J208,0)</f>
        <v>0</v>
      </c>
      <c r="BJ208" s="185" t="s">
        <v>260</v>
      </c>
      <c r="BK208" s="321">
        <f>ROUND(I208*H208,2)</f>
        <v>0</v>
      </c>
      <c r="BL208" s="185" t="s">
        <v>269</v>
      </c>
      <c r="BM208" s="320" t="s">
        <v>751</v>
      </c>
    </row>
    <row r="209" spans="2:47" s="200" customFormat="1" ht="15">
      <c r="B209" s="201"/>
      <c r="D209" s="327" t="s">
        <v>1247</v>
      </c>
      <c r="F209" s="460" t="s">
        <v>750</v>
      </c>
      <c r="I209" s="323"/>
      <c r="L209" s="201"/>
      <c r="M209" s="324"/>
      <c r="T209" s="225"/>
      <c r="AT209" s="185" t="s">
        <v>1247</v>
      </c>
      <c r="AU209" s="185" t="s">
        <v>266</v>
      </c>
    </row>
    <row r="210" spans="2:51" s="325" customFormat="1" ht="15">
      <c r="B210" s="326"/>
      <c r="D210" s="327" t="s">
        <v>617</v>
      </c>
      <c r="E210" s="328" t="s">
        <v>180</v>
      </c>
      <c r="F210" s="329" t="s">
        <v>747</v>
      </c>
      <c r="H210" s="330">
        <v>216</v>
      </c>
      <c r="I210" s="331"/>
      <c r="L210" s="326"/>
      <c r="M210" s="332"/>
      <c r="T210" s="333"/>
      <c r="AT210" s="328" t="s">
        <v>617</v>
      </c>
      <c r="AU210" s="328" t="s">
        <v>266</v>
      </c>
      <c r="AV210" s="325" t="s">
        <v>266</v>
      </c>
      <c r="AW210" s="325" t="s">
        <v>531</v>
      </c>
      <c r="AX210" s="325" t="s">
        <v>301</v>
      </c>
      <c r="AY210" s="328" t="s">
        <v>608</v>
      </c>
    </row>
    <row r="211" spans="2:51" s="325" customFormat="1" ht="15">
      <c r="B211" s="326"/>
      <c r="D211" s="327" t="s">
        <v>617</v>
      </c>
      <c r="E211" s="328" t="s">
        <v>180</v>
      </c>
      <c r="F211" s="329" t="s">
        <v>748</v>
      </c>
      <c r="H211" s="330">
        <v>10.8</v>
      </c>
      <c r="I211" s="331"/>
      <c r="L211" s="326"/>
      <c r="M211" s="332"/>
      <c r="T211" s="333"/>
      <c r="AT211" s="328" t="s">
        <v>617</v>
      </c>
      <c r="AU211" s="328" t="s">
        <v>266</v>
      </c>
      <c r="AV211" s="325" t="s">
        <v>266</v>
      </c>
      <c r="AW211" s="325" t="s">
        <v>531</v>
      </c>
      <c r="AX211" s="325" t="s">
        <v>301</v>
      </c>
      <c r="AY211" s="328" t="s">
        <v>608</v>
      </c>
    </row>
    <row r="212" spans="2:51" s="325" customFormat="1" ht="15">
      <c r="B212" s="326"/>
      <c r="D212" s="327" t="s">
        <v>617</v>
      </c>
      <c r="E212" s="328" t="s">
        <v>180</v>
      </c>
      <c r="F212" s="329" t="s">
        <v>752</v>
      </c>
      <c r="H212" s="330">
        <v>647</v>
      </c>
      <c r="I212" s="331"/>
      <c r="L212" s="326"/>
      <c r="M212" s="332"/>
      <c r="T212" s="333"/>
      <c r="AT212" s="328" t="s">
        <v>617</v>
      </c>
      <c r="AU212" s="328" t="s">
        <v>266</v>
      </c>
      <c r="AV212" s="325" t="s">
        <v>266</v>
      </c>
      <c r="AW212" s="325" t="s">
        <v>531</v>
      </c>
      <c r="AX212" s="325" t="s">
        <v>301</v>
      </c>
      <c r="AY212" s="328" t="s">
        <v>608</v>
      </c>
    </row>
    <row r="213" spans="2:51" s="334" customFormat="1" ht="15">
      <c r="B213" s="335"/>
      <c r="D213" s="327" t="s">
        <v>617</v>
      </c>
      <c r="E213" s="336" t="s">
        <v>180</v>
      </c>
      <c r="F213" s="337" t="s">
        <v>645</v>
      </c>
      <c r="H213" s="338">
        <v>873.8</v>
      </c>
      <c r="I213" s="339"/>
      <c r="L213" s="335"/>
      <c r="M213" s="340"/>
      <c r="T213" s="341"/>
      <c r="AT213" s="336" t="s">
        <v>617</v>
      </c>
      <c r="AU213" s="336" t="s">
        <v>266</v>
      </c>
      <c r="AV213" s="334" t="s">
        <v>269</v>
      </c>
      <c r="AW213" s="334" t="s">
        <v>531</v>
      </c>
      <c r="AX213" s="334" t="s">
        <v>260</v>
      </c>
      <c r="AY213" s="336" t="s">
        <v>608</v>
      </c>
    </row>
    <row r="214" spans="2:51" s="325" customFormat="1" ht="15">
      <c r="B214" s="326"/>
      <c r="D214" s="327" t="s">
        <v>617</v>
      </c>
      <c r="F214" s="329" t="s">
        <v>753</v>
      </c>
      <c r="H214" s="330">
        <v>1035.016</v>
      </c>
      <c r="I214" s="331"/>
      <c r="L214" s="326"/>
      <c r="M214" s="332"/>
      <c r="T214" s="333"/>
      <c r="AT214" s="328" t="s">
        <v>617</v>
      </c>
      <c r="AU214" s="328" t="s">
        <v>266</v>
      </c>
      <c r="AV214" s="325" t="s">
        <v>266</v>
      </c>
      <c r="AW214" s="325" t="s">
        <v>511</v>
      </c>
      <c r="AX214" s="325" t="s">
        <v>260</v>
      </c>
      <c r="AY214" s="328" t="s">
        <v>608</v>
      </c>
    </row>
    <row r="215" spans="2:65" s="200" customFormat="1" ht="24.2" customHeight="1">
      <c r="B215" s="201"/>
      <c r="C215" s="309" t="s">
        <v>313</v>
      </c>
      <c r="D215" s="309" t="s">
        <v>610</v>
      </c>
      <c r="E215" s="310" t="s">
        <v>754</v>
      </c>
      <c r="F215" s="311" t="s">
        <v>1273</v>
      </c>
      <c r="G215" s="312" t="s">
        <v>35</v>
      </c>
      <c r="H215" s="313">
        <v>120</v>
      </c>
      <c r="I215" s="314"/>
      <c r="J215" s="315">
        <f>ROUND(I215*H215,2)</f>
        <v>0</v>
      </c>
      <c r="K215" s="311" t="s">
        <v>613</v>
      </c>
      <c r="L215" s="201"/>
      <c r="M215" s="316" t="s">
        <v>180</v>
      </c>
      <c r="N215" s="317" t="s">
        <v>539</v>
      </c>
      <c r="P215" s="318">
        <f>O215*H215</f>
        <v>0</v>
      </c>
      <c r="Q215" s="318">
        <v>0.20477</v>
      </c>
      <c r="R215" s="318">
        <f>Q215*H215</f>
        <v>24.572400000000002</v>
      </c>
      <c r="S215" s="318">
        <v>0</v>
      </c>
      <c r="T215" s="319">
        <f>S215*H215</f>
        <v>0</v>
      </c>
      <c r="AR215" s="320" t="s">
        <v>269</v>
      </c>
      <c r="AT215" s="320" t="s">
        <v>610</v>
      </c>
      <c r="AU215" s="320" t="s">
        <v>266</v>
      </c>
      <c r="AY215" s="185" t="s">
        <v>608</v>
      </c>
      <c r="BE215" s="321">
        <f>IF(N215="základní",J215,0)</f>
        <v>0</v>
      </c>
      <c r="BF215" s="321">
        <f>IF(N215="snížená",J215,0)</f>
        <v>0</v>
      </c>
      <c r="BG215" s="321">
        <f>IF(N215="zákl. přenesená",J215,0)</f>
        <v>0</v>
      </c>
      <c r="BH215" s="321">
        <f>IF(N215="sníž. přenesená",J215,0)</f>
        <v>0</v>
      </c>
      <c r="BI215" s="321">
        <f>IF(N215="nulová",J215,0)</f>
        <v>0</v>
      </c>
      <c r="BJ215" s="185" t="s">
        <v>260</v>
      </c>
      <c r="BK215" s="321">
        <f>ROUND(I215*H215,2)</f>
        <v>0</v>
      </c>
      <c r="BL215" s="185" t="s">
        <v>269</v>
      </c>
      <c r="BM215" s="320" t="s">
        <v>756</v>
      </c>
    </row>
    <row r="216" spans="2:47" s="200" customFormat="1" ht="19.5">
      <c r="B216" s="201"/>
      <c r="D216" s="327" t="s">
        <v>1247</v>
      </c>
      <c r="F216" s="460" t="s">
        <v>755</v>
      </c>
      <c r="I216" s="323"/>
      <c r="L216" s="201"/>
      <c r="M216" s="324"/>
      <c r="T216" s="225"/>
      <c r="AT216" s="185" t="s">
        <v>1247</v>
      </c>
      <c r="AU216" s="185" t="s">
        <v>266</v>
      </c>
    </row>
    <row r="217" spans="2:47" s="200" customFormat="1" ht="15">
      <c r="B217" s="201"/>
      <c r="D217" s="322" t="s">
        <v>615</v>
      </c>
      <c r="F217" s="397" t="s">
        <v>757</v>
      </c>
      <c r="I217" s="323"/>
      <c r="L217" s="201"/>
      <c r="M217" s="324"/>
      <c r="T217" s="225"/>
      <c r="AT217" s="185" t="s">
        <v>615</v>
      </c>
      <c r="AU217" s="185" t="s">
        <v>266</v>
      </c>
    </row>
    <row r="218" spans="2:51" s="325" customFormat="1" ht="15">
      <c r="B218" s="326"/>
      <c r="D218" s="327" t="s">
        <v>617</v>
      </c>
      <c r="E218" s="328" t="s">
        <v>180</v>
      </c>
      <c r="F218" s="329" t="s">
        <v>758</v>
      </c>
      <c r="H218" s="330">
        <v>120</v>
      </c>
      <c r="I218" s="331"/>
      <c r="L218" s="326"/>
      <c r="M218" s="332"/>
      <c r="T218" s="333"/>
      <c r="AT218" s="328" t="s">
        <v>617</v>
      </c>
      <c r="AU218" s="328" t="s">
        <v>266</v>
      </c>
      <c r="AV218" s="325" t="s">
        <v>266</v>
      </c>
      <c r="AW218" s="325" t="s">
        <v>531</v>
      </c>
      <c r="AX218" s="325" t="s">
        <v>260</v>
      </c>
      <c r="AY218" s="328" t="s">
        <v>608</v>
      </c>
    </row>
    <row r="219" spans="2:65" s="200" customFormat="1" ht="16.5" customHeight="1">
      <c r="B219" s="201"/>
      <c r="C219" s="309" t="s">
        <v>314</v>
      </c>
      <c r="D219" s="309" t="s">
        <v>610</v>
      </c>
      <c r="E219" s="310" t="s">
        <v>759</v>
      </c>
      <c r="F219" s="311" t="s">
        <v>1274</v>
      </c>
      <c r="G219" s="312" t="s">
        <v>261</v>
      </c>
      <c r="H219" s="313">
        <v>647</v>
      </c>
      <c r="I219" s="314"/>
      <c r="J219" s="315">
        <f>ROUND(I219*H219,2)</f>
        <v>0</v>
      </c>
      <c r="K219" s="311" t="s">
        <v>613</v>
      </c>
      <c r="L219" s="201"/>
      <c r="M219" s="316" t="s">
        <v>180</v>
      </c>
      <c r="N219" s="317" t="s">
        <v>539</v>
      </c>
      <c r="P219" s="318">
        <f>O219*H219</f>
        <v>0</v>
      </c>
      <c r="Q219" s="318">
        <v>0.00014</v>
      </c>
      <c r="R219" s="318">
        <f>Q219*H219</f>
        <v>0.09058</v>
      </c>
      <c r="S219" s="318">
        <v>0</v>
      </c>
      <c r="T219" s="319">
        <f>S219*H219</f>
        <v>0</v>
      </c>
      <c r="AR219" s="320" t="s">
        <v>269</v>
      </c>
      <c r="AT219" s="320" t="s">
        <v>610</v>
      </c>
      <c r="AU219" s="320" t="s">
        <v>266</v>
      </c>
      <c r="AY219" s="185" t="s">
        <v>608</v>
      </c>
      <c r="BE219" s="321">
        <f>IF(N219="základní",J219,0)</f>
        <v>0</v>
      </c>
      <c r="BF219" s="321">
        <f>IF(N219="snížená",J219,0)</f>
        <v>0</v>
      </c>
      <c r="BG219" s="321">
        <f>IF(N219="zákl. přenesená",J219,0)</f>
        <v>0</v>
      </c>
      <c r="BH219" s="321">
        <f>IF(N219="sníž. přenesená",J219,0)</f>
        <v>0</v>
      </c>
      <c r="BI219" s="321">
        <f>IF(N219="nulová",J219,0)</f>
        <v>0</v>
      </c>
      <c r="BJ219" s="185" t="s">
        <v>260</v>
      </c>
      <c r="BK219" s="321">
        <f>ROUND(I219*H219,2)</f>
        <v>0</v>
      </c>
      <c r="BL219" s="185" t="s">
        <v>269</v>
      </c>
      <c r="BM219" s="320" t="s">
        <v>761</v>
      </c>
    </row>
    <row r="220" spans="2:47" s="200" customFormat="1" ht="19.5">
      <c r="B220" s="201"/>
      <c r="D220" s="327" t="s">
        <v>1247</v>
      </c>
      <c r="F220" s="460" t="s">
        <v>760</v>
      </c>
      <c r="I220" s="323"/>
      <c r="L220" s="201"/>
      <c r="M220" s="324"/>
      <c r="T220" s="225"/>
      <c r="AT220" s="185" t="s">
        <v>1247</v>
      </c>
      <c r="AU220" s="185" t="s">
        <v>266</v>
      </c>
    </row>
    <row r="221" spans="2:47" s="200" customFormat="1" ht="15">
      <c r="B221" s="201"/>
      <c r="D221" s="322" t="s">
        <v>615</v>
      </c>
      <c r="F221" s="397" t="s">
        <v>762</v>
      </c>
      <c r="I221" s="323"/>
      <c r="L221" s="201"/>
      <c r="M221" s="324"/>
      <c r="T221" s="225"/>
      <c r="AT221" s="185" t="s">
        <v>615</v>
      </c>
      <c r="AU221" s="185" t="s">
        <v>266</v>
      </c>
    </row>
    <row r="222" spans="2:51" s="325" customFormat="1" ht="15">
      <c r="B222" s="326"/>
      <c r="D222" s="327" t="s">
        <v>617</v>
      </c>
      <c r="E222" s="328" t="s">
        <v>180</v>
      </c>
      <c r="F222" s="329" t="s">
        <v>752</v>
      </c>
      <c r="H222" s="330">
        <v>647</v>
      </c>
      <c r="I222" s="331"/>
      <c r="L222" s="326"/>
      <c r="M222" s="332"/>
      <c r="T222" s="333"/>
      <c r="AT222" s="328" t="s">
        <v>617</v>
      </c>
      <c r="AU222" s="328" t="s">
        <v>266</v>
      </c>
      <c r="AV222" s="325" t="s">
        <v>266</v>
      </c>
      <c r="AW222" s="325" t="s">
        <v>531</v>
      </c>
      <c r="AX222" s="325" t="s">
        <v>260</v>
      </c>
      <c r="AY222" s="328" t="s">
        <v>608</v>
      </c>
    </row>
    <row r="223" spans="2:63" s="296" customFormat="1" ht="22.9" customHeight="1">
      <c r="B223" s="297"/>
      <c r="D223" s="298" t="s">
        <v>565</v>
      </c>
      <c r="E223" s="307" t="s">
        <v>270</v>
      </c>
      <c r="F223" s="307" t="s">
        <v>763</v>
      </c>
      <c r="I223" s="300"/>
      <c r="J223" s="308">
        <f>BK223</f>
        <v>0</v>
      </c>
      <c r="L223" s="297"/>
      <c r="M223" s="302"/>
      <c r="P223" s="303">
        <f>SUM(P224:P282)</f>
        <v>0</v>
      </c>
      <c r="R223" s="303">
        <f>SUM(R224:R282)</f>
        <v>385.15694</v>
      </c>
      <c r="T223" s="304">
        <f>SUM(T224:T282)</f>
        <v>0</v>
      </c>
      <c r="AR223" s="298" t="s">
        <v>260</v>
      </c>
      <c r="AT223" s="305" t="s">
        <v>565</v>
      </c>
      <c r="AU223" s="305" t="s">
        <v>260</v>
      </c>
      <c r="AY223" s="298" t="s">
        <v>608</v>
      </c>
      <c r="BK223" s="306">
        <f>SUM(BK224:BK282)</f>
        <v>0</v>
      </c>
    </row>
    <row r="224" spans="2:65" s="200" customFormat="1" ht="16.5" customHeight="1">
      <c r="B224" s="201"/>
      <c r="C224" s="309" t="s">
        <v>315</v>
      </c>
      <c r="D224" s="309" t="s">
        <v>610</v>
      </c>
      <c r="E224" s="310" t="s">
        <v>764</v>
      </c>
      <c r="F224" s="311" t="s">
        <v>1275</v>
      </c>
      <c r="G224" s="312" t="s">
        <v>261</v>
      </c>
      <c r="H224" s="313">
        <v>918</v>
      </c>
      <c r="I224" s="314"/>
      <c r="J224" s="315">
        <f>ROUND(I224*H224,2)</f>
        <v>0</v>
      </c>
      <c r="K224" s="311" t="s">
        <v>613</v>
      </c>
      <c r="L224" s="201"/>
      <c r="M224" s="316" t="s">
        <v>180</v>
      </c>
      <c r="N224" s="317" t="s">
        <v>539</v>
      </c>
      <c r="P224" s="318">
        <f>O224*H224</f>
        <v>0</v>
      </c>
      <c r="Q224" s="318">
        <v>0</v>
      </c>
      <c r="R224" s="318">
        <f>Q224*H224</f>
        <v>0</v>
      </c>
      <c r="S224" s="318">
        <v>0</v>
      </c>
      <c r="T224" s="319">
        <f>S224*H224</f>
        <v>0</v>
      </c>
      <c r="AR224" s="320" t="s">
        <v>269</v>
      </c>
      <c r="AT224" s="320" t="s">
        <v>610</v>
      </c>
      <c r="AU224" s="320" t="s">
        <v>266</v>
      </c>
      <c r="AY224" s="185" t="s">
        <v>608</v>
      </c>
      <c r="BE224" s="321">
        <f>IF(N224="základní",J224,0)</f>
        <v>0</v>
      </c>
      <c r="BF224" s="321">
        <f>IF(N224="snížená",J224,0)</f>
        <v>0</v>
      </c>
      <c r="BG224" s="321">
        <f>IF(N224="zákl. přenesená",J224,0)</f>
        <v>0</v>
      </c>
      <c r="BH224" s="321">
        <f>IF(N224="sníž. přenesená",J224,0)</f>
        <v>0</v>
      </c>
      <c r="BI224" s="321">
        <f>IF(N224="nulová",J224,0)</f>
        <v>0</v>
      </c>
      <c r="BJ224" s="185" t="s">
        <v>260</v>
      </c>
      <c r="BK224" s="321">
        <f>ROUND(I224*H224,2)</f>
        <v>0</v>
      </c>
      <c r="BL224" s="185" t="s">
        <v>269</v>
      </c>
      <c r="BM224" s="320" t="s">
        <v>766</v>
      </c>
    </row>
    <row r="225" spans="2:47" s="200" customFormat="1" ht="15">
      <c r="B225" s="201"/>
      <c r="D225" s="327" t="s">
        <v>1247</v>
      </c>
      <c r="F225" s="460" t="s">
        <v>765</v>
      </c>
      <c r="I225" s="323"/>
      <c r="L225" s="201"/>
      <c r="M225" s="324"/>
      <c r="T225" s="225"/>
      <c r="AT225" s="185" t="s">
        <v>1247</v>
      </c>
      <c r="AU225" s="185" t="s">
        <v>266</v>
      </c>
    </row>
    <row r="226" spans="2:47" s="200" customFormat="1" ht="15">
      <c r="B226" s="201"/>
      <c r="D226" s="322" t="s">
        <v>615</v>
      </c>
      <c r="F226" s="397" t="s">
        <v>767</v>
      </c>
      <c r="I226" s="323"/>
      <c r="L226" s="201"/>
      <c r="M226" s="324"/>
      <c r="T226" s="225"/>
      <c r="AT226" s="185" t="s">
        <v>615</v>
      </c>
      <c r="AU226" s="185" t="s">
        <v>266</v>
      </c>
    </row>
    <row r="227" spans="2:51" s="325" customFormat="1" ht="15">
      <c r="B227" s="326"/>
      <c r="D227" s="327" t="s">
        <v>617</v>
      </c>
      <c r="E227" s="328" t="s">
        <v>180</v>
      </c>
      <c r="F227" s="329" t="s">
        <v>768</v>
      </c>
      <c r="H227" s="330">
        <v>918</v>
      </c>
      <c r="I227" s="331"/>
      <c r="L227" s="326"/>
      <c r="M227" s="332"/>
      <c r="T227" s="333"/>
      <c r="AT227" s="328" t="s">
        <v>617</v>
      </c>
      <c r="AU227" s="328" t="s">
        <v>266</v>
      </c>
      <c r="AV227" s="325" t="s">
        <v>266</v>
      </c>
      <c r="AW227" s="325" t="s">
        <v>531</v>
      </c>
      <c r="AX227" s="325" t="s">
        <v>260</v>
      </c>
      <c r="AY227" s="328" t="s">
        <v>608</v>
      </c>
    </row>
    <row r="228" spans="2:65" s="200" customFormat="1" ht="16.5" customHeight="1">
      <c r="B228" s="201"/>
      <c r="C228" s="309" t="s">
        <v>316</v>
      </c>
      <c r="D228" s="309" t="s">
        <v>610</v>
      </c>
      <c r="E228" s="310" t="s">
        <v>769</v>
      </c>
      <c r="F228" s="311" t="s">
        <v>1276</v>
      </c>
      <c r="G228" s="312" t="s">
        <v>261</v>
      </c>
      <c r="H228" s="313">
        <v>647</v>
      </c>
      <c r="I228" s="314"/>
      <c r="J228" s="315">
        <f>ROUND(I228*H228,2)</f>
        <v>0</v>
      </c>
      <c r="K228" s="311" t="s">
        <v>613</v>
      </c>
      <c r="L228" s="201"/>
      <c r="M228" s="316" t="s">
        <v>180</v>
      </c>
      <c r="N228" s="317" t="s">
        <v>539</v>
      </c>
      <c r="P228" s="318">
        <f>O228*H228</f>
        <v>0</v>
      </c>
      <c r="Q228" s="318">
        <v>0</v>
      </c>
      <c r="R228" s="318">
        <f>Q228*H228</f>
        <v>0</v>
      </c>
      <c r="S228" s="318">
        <v>0</v>
      </c>
      <c r="T228" s="319">
        <f>S228*H228</f>
        <v>0</v>
      </c>
      <c r="AR228" s="320" t="s">
        <v>269</v>
      </c>
      <c r="AT228" s="320" t="s">
        <v>610</v>
      </c>
      <c r="AU228" s="320" t="s">
        <v>266</v>
      </c>
      <c r="AY228" s="185" t="s">
        <v>608</v>
      </c>
      <c r="BE228" s="321">
        <f>IF(N228="základní",J228,0)</f>
        <v>0</v>
      </c>
      <c r="BF228" s="321">
        <f>IF(N228="snížená",J228,0)</f>
        <v>0</v>
      </c>
      <c r="BG228" s="321">
        <f>IF(N228="zákl. přenesená",J228,0)</f>
        <v>0</v>
      </c>
      <c r="BH228" s="321">
        <f>IF(N228="sníž. přenesená",J228,0)</f>
        <v>0</v>
      </c>
      <c r="BI228" s="321">
        <f>IF(N228="nulová",J228,0)</f>
        <v>0</v>
      </c>
      <c r="BJ228" s="185" t="s">
        <v>260</v>
      </c>
      <c r="BK228" s="321">
        <f>ROUND(I228*H228,2)</f>
        <v>0</v>
      </c>
      <c r="BL228" s="185" t="s">
        <v>269</v>
      </c>
      <c r="BM228" s="320" t="s">
        <v>771</v>
      </c>
    </row>
    <row r="229" spans="2:47" s="200" customFormat="1" ht="15">
      <c r="B229" s="201"/>
      <c r="D229" s="327" t="s">
        <v>1247</v>
      </c>
      <c r="F229" s="460" t="s">
        <v>770</v>
      </c>
      <c r="I229" s="323"/>
      <c r="L229" s="201"/>
      <c r="M229" s="324"/>
      <c r="T229" s="225"/>
      <c r="AT229" s="185" t="s">
        <v>1247</v>
      </c>
      <c r="AU229" s="185" t="s">
        <v>266</v>
      </c>
    </row>
    <row r="230" spans="2:47" s="200" customFormat="1" ht="15">
      <c r="B230" s="201"/>
      <c r="D230" s="322" t="s">
        <v>615</v>
      </c>
      <c r="F230" s="397" t="s">
        <v>772</v>
      </c>
      <c r="I230" s="323"/>
      <c r="L230" s="201"/>
      <c r="M230" s="324"/>
      <c r="T230" s="225"/>
      <c r="AT230" s="185" t="s">
        <v>615</v>
      </c>
      <c r="AU230" s="185" t="s">
        <v>266</v>
      </c>
    </row>
    <row r="231" spans="2:51" s="325" customFormat="1" ht="15">
      <c r="B231" s="326"/>
      <c r="D231" s="327" t="s">
        <v>617</v>
      </c>
      <c r="E231" s="328" t="s">
        <v>180</v>
      </c>
      <c r="F231" s="329" t="s">
        <v>773</v>
      </c>
      <c r="H231" s="330">
        <v>647</v>
      </c>
      <c r="I231" s="331"/>
      <c r="L231" s="326"/>
      <c r="M231" s="332"/>
      <c r="T231" s="333"/>
      <c r="AT231" s="328" t="s">
        <v>617</v>
      </c>
      <c r="AU231" s="328" t="s">
        <v>266</v>
      </c>
      <c r="AV231" s="325" t="s">
        <v>266</v>
      </c>
      <c r="AW231" s="325" t="s">
        <v>531</v>
      </c>
      <c r="AX231" s="325" t="s">
        <v>260</v>
      </c>
      <c r="AY231" s="328" t="s">
        <v>608</v>
      </c>
    </row>
    <row r="232" spans="2:65" s="200" customFormat="1" ht="16.5" customHeight="1">
      <c r="B232" s="201"/>
      <c r="C232" s="309" t="s">
        <v>319</v>
      </c>
      <c r="D232" s="309" t="s">
        <v>610</v>
      </c>
      <c r="E232" s="310" t="s">
        <v>774</v>
      </c>
      <c r="F232" s="311" t="s">
        <v>1277</v>
      </c>
      <c r="G232" s="312" t="s">
        <v>261</v>
      </c>
      <c r="H232" s="313">
        <v>647</v>
      </c>
      <c r="I232" s="314"/>
      <c r="J232" s="315">
        <f>ROUND(I232*H232,2)</f>
        <v>0</v>
      </c>
      <c r="K232" s="311" t="s">
        <v>613</v>
      </c>
      <c r="L232" s="201"/>
      <c r="M232" s="316" t="s">
        <v>180</v>
      </c>
      <c r="N232" s="317" t="s">
        <v>539</v>
      </c>
      <c r="P232" s="318">
        <f>O232*H232</f>
        <v>0</v>
      </c>
      <c r="Q232" s="318">
        <v>0</v>
      </c>
      <c r="R232" s="318">
        <f>Q232*H232</f>
        <v>0</v>
      </c>
      <c r="S232" s="318">
        <v>0</v>
      </c>
      <c r="T232" s="319">
        <f>S232*H232</f>
        <v>0</v>
      </c>
      <c r="AR232" s="320" t="s">
        <v>269</v>
      </c>
      <c r="AT232" s="320" t="s">
        <v>610</v>
      </c>
      <c r="AU232" s="320" t="s">
        <v>266</v>
      </c>
      <c r="AY232" s="185" t="s">
        <v>608</v>
      </c>
      <c r="BE232" s="321">
        <f>IF(N232="základní",J232,0)</f>
        <v>0</v>
      </c>
      <c r="BF232" s="321">
        <f>IF(N232="snížená",J232,0)</f>
        <v>0</v>
      </c>
      <c r="BG232" s="321">
        <f>IF(N232="zákl. přenesená",J232,0)</f>
        <v>0</v>
      </c>
      <c r="BH232" s="321">
        <f>IF(N232="sníž. přenesená",J232,0)</f>
        <v>0</v>
      </c>
      <c r="BI232" s="321">
        <f>IF(N232="nulová",J232,0)</f>
        <v>0</v>
      </c>
      <c r="BJ232" s="185" t="s">
        <v>260</v>
      </c>
      <c r="BK232" s="321">
        <f>ROUND(I232*H232,2)</f>
        <v>0</v>
      </c>
      <c r="BL232" s="185" t="s">
        <v>269</v>
      </c>
      <c r="BM232" s="320" t="s">
        <v>776</v>
      </c>
    </row>
    <row r="233" spans="2:47" s="200" customFormat="1" ht="15">
      <c r="B233" s="201"/>
      <c r="D233" s="327" t="s">
        <v>1247</v>
      </c>
      <c r="F233" s="460" t="s">
        <v>775</v>
      </c>
      <c r="I233" s="323"/>
      <c r="L233" s="201"/>
      <c r="M233" s="324"/>
      <c r="T233" s="225"/>
      <c r="AT233" s="185" t="s">
        <v>1247</v>
      </c>
      <c r="AU233" s="185" t="s">
        <v>266</v>
      </c>
    </row>
    <row r="234" spans="2:47" s="200" customFormat="1" ht="15">
      <c r="B234" s="201"/>
      <c r="D234" s="322" t="s">
        <v>615</v>
      </c>
      <c r="F234" s="397" t="s">
        <v>777</v>
      </c>
      <c r="I234" s="323"/>
      <c r="L234" s="201"/>
      <c r="M234" s="324"/>
      <c r="T234" s="225"/>
      <c r="AT234" s="185" t="s">
        <v>615</v>
      </c>
      <c r="AU234" s="185" t="s">
        <v>266</v>
      </c>
    </row>
    <row r="235" spans="2:51" s="325" customFormat="1" ht="15">
      <c r="B235" s="326"/>
      <c r="D235" s="327" t="s">
        <v>617</v>
      </c>
      <c r="E235" s="328" t="s">
        <v>180</v>
      </c>
      <c r="F235" s="329" t="s">
        <v>778</v>
      </c>
      <c r="H235" s="330">
        <v>647</v>
      </c>
      <c r="I235" s="331"/>
      <c r="L235" s="326"/>
      <c r="M235" s="332"/>
      <c r="T235" s="333"/>
      <c r="AT235" s="328" t="s">
        <v>617</v>
      </c>
      <c r="AU235" s="328" t="s">
        <v>266</v>
      </c>
      <c r="AV235" s="325" t="s">
        <v>266</v>
      </c>
      <c r="AW235" s="325" t="s">
        <v>531</v>
      </c>
      <c r="AX235" s="325" t="s">
        <v>260</v>
      </c>
      <c r="AY235" s="328" t="s">
        <v>608</v>
      </c>
    </row>
    <row r="236" spans="2:65" s="200" customFormat="1" ht="16.5" customHeight="1">
      <c r="B236" s="201"/>
      <c r="C236" s="309" t="s">
        <v>320</v>
      </c>
      <c r="D236" s="309" t="s">
        <v>610</v>
      </c>
      <c r="E236" s="310" t="s">
        <v>779</v>
      </c>
      <c r="F236" s="311" t="s">
        <v>1278</v>
      </c>
      <c r="G236" s="312" t="s">
        <v>261</v>
      </c>
      <c r="H236" s="313">
        <v>75</v>
      </c>
      <c r="I236" s="314"/>
      <c r="J236" s="315">
        <f>ROUND(I236*H236,2)</f>
        <v>0</v>
      </c>
      <c r="K236" s="311" t="s">
        <v>613</v>
      </c>
      <c r="L236" s="201"/>
      <c r="M236" s="316" t="s">
        <v>180</v>
      </c>
      <c r="N236" s="317" t="s">
        <v>539</v>
      </c>
      <c r="P236" s="318">
        <f>O236*H236</f>
        <v>0</v>
      </c>
      <c r="Q236" s="318">
        <v>0</v>
      </c>
      <c r="R236" s="318">
        <f>Q236*H236</f>
        <v>0</v>
      </c>
      <c r="S236" s="318">
        <v>0</v>
      </c>
      <c r="T236" s="319">
        <f>S236*H236</f>
        <v>0</v>
      </c>
      <c r="AR236" s="320" t="s">
        <v>269</v>
      </c>
      <c r="AT236" s="320" t="s">
        <v>610</v>
      </c>
      <c r="AU236" s="320" t="s">
        <v>266</v>
      </c>
      <c r="AY236" s="185" t="s">
        <v>608</v>
      </c>
      <c r="BE236" s="321">
        <f>IF(N236="základní",J236,0)</f>
        <v>0</v>
      </c>
      <c r="BF236" s="321">
        <f>IF(N236="snížená",J236,0)</f>
        <v>0</v>
      </c>
      <c r="BG236" s="321">
        <f>IF(N236="zákl. přenesená",J236,0)</f>
        <v>0</v>
      </c>
      <c r="BH236" s="321">
        <f>IF(N236="sníž. přenesená",J236,0)</f>
        <v>0</v>
      </c>
      <c r="BI236" s="321">
        <f>IF(N236="nulová",J236,0)</f>
        <v>0</v>
      </c>
      <c r="BJ236" s="185" t="s">
        <v>260</v>
      </c>
      <c r="BK236" s="321">
        <f>ROUND(I236*H236,2)</f>
        <v>0</v>
      </c>
      <c r="BL236" s="185" t="s">
        <v>269</v>
      </c>
      <c r="BM236" s="320" t="s">
        <v>781</v>
      </c>
    </row>
    <row r="237" spans="2:47" s="200" customFormat="1" ht="15">
      <c r="B237" s="201"/>
      <c r="D237" s="327" t="s">
        <v>1247</v>
      </c>
      <c r="F237" s="460" t="s">
        <v>780</v>
      </c>
      <c r="I237" s="323"/>
      <c r="L237" s="201"/>
      <c r="M237" s="324"/>
      <c r="T237" s="225"/>
      <c r="AT237" s="185" t="s">
        <v>1247</v>
      </c>
      <c r="AU237" s="185" t="s">
        <v>266</v>
      </c>
    </row>
    <row r="238" spans="2:47" s="200" customFormat="1" ht="15">
      <c r="B238" s="201"/>
      <c r="D238" s="322" t="s">
        <v>615</v>
      </c>
      <c r="F238" s="397" t="s">
        <v>782</v>
      </c>
      <c r="I238" s="323"/>
      <c r="L238" s="201"/>
      <c r="M238" s="324"/>
      <c r="T238" s="225"/>
      <c r="AT238" s="185" t="s">
        <v>615</v>
      </c>
      <c r="AU238" s="185" t="s">
        <v>266</v>
      </c>
    </row>
    <row r="239" spans="2:51" s="325" customFormat="1" ht="15">
      <c r="B239" s="326"/>
      <c r="D239" s="327" t="s">
        <v>617</v>
      </c>
      <c r="E239" s="328" t="s">
        <v>180</v>
      </c>
      <c r="F239" s="329" t="s">
        <v>783</v>
      </c>
      <c r="H239" s="330">
        <v>75</v>
      </c>
      <c r="I239" s="331"/>
      <c r="L239" s="326"/>
      <c r="M239" s="332"/>
      <c r="T239" s="333"/>
      <c r="AT239" s="328" t="s">
        <v>617</v>
      </c>
      <c r="AU239" s="328" t="s">
        <v>266</v>
      </c>
      <c r="AV239" s="325" t="s">
        <v>266</v>
      </c>
      <c r="AW239" s="325" t="s">
        <v>531</v>
      </c>
      <c r="AX239" s="325" t="s">
        <v>260</v>
      </c>
      <c r="AY239" s="328" t="s">
        <v>608</v>
      </c>
    </row>
    <row r="240" spans="2:65" s="200" customFormat="1" ht="16.5" customHeight="1">
      <c r="B240" s="201"/>
      <c r="C240" s="309" t="s">
        <v>321</v>
      </c>
      <c r="D240" s="309" t="s">
        <v>610</v>
      </c>
      <c r="E240" s="310" t="s">
        <v>784</v>
      </c>
      <c r="F240" s="311" t="s">
        <v>1279</v>
      </c>
      <c r="G240" s="312" t="s">
        <v>261</v>
      </c>
      <c r="H240" s="313">
        <v>647</v>
      </c>
      <c r="I240" s="314"/>
      <c r="J240" s="315">
        <f>ROUND(I240*H240,2)</f>
        <v>0</v>
      </c>
      <c r="K240" s="311" t="s">
        <v>613</v>
      </c>
      <c r="L240" s="201"/>
      <c r="M240" s="316" t="s">
        <v>180</v>
      </c>
      <c r="N240" s="317" t="s">
        <v>539</v>
      </c>
      <c r="P240" s="318">
        <f>O240*H240</f>
        <v>0</v>
      </c>
      <c r="Q240" s="318">
        <v>0</v>
      </c>
      <c r="R240" s="318">
        <f>Q240*H240</f>
        <v>0</v>
      </c>
      <c r="S240" s="318">
        <v>0</v>
      </c>
      <c r="T240" s="319">
        <f>S240*H240</f>
        <v>0</v>
      </c>
      <c r="AR240" s="320" t="s">
        <v>269</v>
      </c>
      <c r="AT240" s="320" t="s">
        <v>610</v>
      </c>
      <c r="AU240" s="320" t="s">
        <v>266</v>
      </c>
      <c r="AY240" s="185" t="s">
        <v>608</v>
      </c>
      <c r="BE240" s="321">
        <f>IF(N240="základní",J240,0)</f>
        <v>0</v>
      </c>
      <c r="BF240" s="321">
        <f>IF(N240="snížená",J240,0)</f>
        <v>0</v>
      </c>
      <c r="BG240" s="321">
        <f>IF(N240="zákl. přenesená",J240,0)</f>
        <v>0</v>
      </c>
      <c r="BH240" s="321">
        <f>IF(N240="sníž. přenesená",J240,0)</f>
        <v>0</v>
      </c>
      <c r="BI240" s="321">
        <f>IF(N240="nulová",J240,0)</f>
        <v>0</v>
      </c>
      <c r="BJ240" s="185" t="s">
        <v>260</v>
      </c>
      <c r="BK240" s="321">
        <f>ROUND(I240*H240,2)</f>
        <v>0</v>
      </c>
      <c r="BL240" s="185" t="s">
        <v>269</v>
      </c>
      <c r="BM240" s="320" t="s">
        <v>786</v>
      </c>
    </row>
    <row r="241" spans="2:47" s="200" customFormat="1" ht="15">
      <c r="B241" s="201"/>
      <c r="D241" s="327" t="s">
        <v>1247</v>
      </c>
      <c r="F241" s="460" t="s">
        <v>785</v>
      </c>
      <c r="I241" s="323"/>
      <c r="L241" s="201"/>
      <c r="M241" s="324"/>
      <c r="T241" s="225"/>
      <c r="AT241" s="185" t="s">
        <v>1247</v>
      </c>
      <c r="AU241" s="185" t="s">
        <v>266</v>
      </c>
    </row>
    <row r="242" spans="2:47" s="200" customFormat="1" ht="15">
      <c r="B242" s="201"/>
      <c r="D242" s="322" t="s">
        <v>615</v>
      </c>
      <c r="F242" s="397" t="s">
        <v>787</v>
      </c>
      <c r="I242" s="323"/>
      <c r="L242" s="201"/>
      <c r="M242" s="324"/>
      <c r="T242" s="225"/>
      <c r="AT242" s="185" t="s">
        <v>615</v>
      </c>
      <c r="AU242" s="185" t="s">
        <v>266</v>
      </c>
    </row>
    <row r="243" spans="2:51" s="325" customFormat="1" ht="15">
      <c r="B243" s="326"/>
      <c r="D243" s="327" t="s">
        <v>617</v>
      </c>
      <c r="E243" s="328" t="s">
        <v>180</v>
      </c>
      <c r="F243" s="329" t="s">
        <v>788</v>
      </c>
      <c r="H243" s="330">
        <v>647</v>
      </c>
      <c r="I243" s="331"/>
      <c r="L243" s="326"/>
      <c r="M243" s="332"/>
      <c r="T243" s="333"/>
      <c r="AT243" s="328" t="s">
        <v>617</v>
      </c>
      <c r="AU243" s="328" t="s">
        <v>266</v>
      </c>
      <c r="AV243" s="325" t="s">
        <v>266</v>
      </c>
      <c r="AW243" s="325" t="s">
        <v>531</v>
      </c>
      <c r="AX243" s="325" t="s">
        <v>260</v>
      </c>
      <c r="AY243" s="328" t="s">
        <v>608</v>
      </c>
    </row>
    <row r="244" spans="2:65" s="200" customFormat="1" ht="16.5" customHeight="1">
      <c r="B244" s="201"/>
      <c r="C244" s="309" t="s">
        <v>323</v>
      </c>
      <c r="D244" s="309" t="s">
        <v>610</v>
      </c>
      <c r="E244" s="310" t="s">
        <v>789</v>
      </c>
      <c r="F244" s="311" t="s">
        <v>1280</v>
      </c>
      <c r="G244" s="312" t="s">
        <v>261</v>
      </c>
      <c r="H244" s="313">
        <v>75</v>
      </c>
      <c r="I244" s="314"/>
      <c r="J244" s="315">
        <f>ROUND(I244*H244,2)</f>
        <v>0</v>
      </c>
      <c r="K244" s="311" t="s">
        <v>613</v>
      </c>
      <c r="L244" s="201"/>
      <c r="M244" s="316" t="s">
        <v>180</v>
      </c>
      <c r="N244" s="317" t="s">
        <v>539</v>
      </c>
      <c r="P244" s="318">
        <f>O244*H244</f>
        <v>0</v>
      </c>
      <c r="Q244" s="318">
        <v>0</v>
      </c>
      <c r="R244" s="318">
        <f>Q244*H244</f>
        <v>0</v>
      </c>
      <c r="S244" s="318">
        <v>0</v>
      </c>
      <c r="T244" s="319">
        <f>S244*H244</f>
        <v>0</v>
      </c>
      <c r="AR244" s="320" t="s">
        <v>269</v>
      </c>
      <c r="AT244" s="320" t="s">
        <v>610</v>
      </c>
      <c r="AU244" s="320" t="s">
        <v>266</v>
      </c>
      <c r="AY244" s="185" t="s">
        <v>608</v>
      </c>
      <c r="BE244" s="321">
        <f>IF(N244="základní",J244,0)</f>
        <v>0</v>
      </c>
      <c r="BF244" s="321">
        <f>IF(N244="snížená",J244,0)</f>
        <v>0</v>
      </c>
      <c r="BG244" s="321">
        <f>IF(N244="zákl. přenesená",J244,0)</f>
        <v>0</v>
      </c>
      <c r="BH244" s="321">
        <f>IF(N244="sníž. přenesená",J244,0)</f>
        <v>0</v>
      </c>
      <c r="BI244" s="321">
        <f>IF(N244="nulová",J244,0)</f>
        <v>0</v>
      </c>
      <c r="BJ244" s="185" t="s">
        <v>260</v>
      </c>
      <c r="BK244" s="321">
        <f>ROUND(I244*H244,2)</f>
        <v>0</v>
      </c>
      <c r="BL244" s="185" t="s">
        <v>269</v>
      </c>
      <c r="BM244" s="320" t="s">
        <v>791</v>
      </c>
    </row>
    <row r="245" spans="2:47" s="200" customFormat="1" ht="15">
      <c r="B245" s="201"/>
      <c r="D245" s="327" t="s">
        <v>1247</v>
      </c>
      <c r="F245" s="460" t="s">
        <v>790</v>
      </c>
      <c r="I245" s="323"/>
      <c r="L245" s="201"/>
      <c r="M245" s="324"/>
      <c r="T245" s="225"/>
      <c r="AT245" s="185" t="s">
        <v>1247</v>
      </c>
      <c r="AU245" s="185" t="s">
        <v>266</v>
      </c>
    </row>
    <row r="246" spans="2:47" s="200" customFormat="1" ht="15">
      <c r="B246" s="201"/>
      <c r="D246" s="322" t="s">
        <v>615</v>
      </c>
      <c r="F246" s="397" t="s">
        <v>792</v>
      </c>
      <c r="I246" s="323"/>
      <c r="L246" s="201"/>
      <c r="M246" s="324"/>
      <c r="T246" s="225"/>
      <c r="AT246" s="185" t="s">
        <v>615</v>
      </c>
      <c r="AU246" s="185" t="s">
        <v>266</v>
      </c>
    </row>
    <row r="247" spans="2:51" s="325" customFormat="1" ht="15">
      <c r="B247" s="326"/>
      <c r="D247" s="327" t="s">
        <v>617</v>
      </c>
      <c r="E247" s="328" t="s">
        <v>180</v>
      </c>
      <c r="F247" s="329" t="s">
        <v>783</v>
      </c>
      <c r="H247" s="330">
        <v>75</v>
      </c>
      <c r="I247" s="331"/>
      <c r="L247" s="326"/>
      <c r="M247" s="332"/>
      <c r="T247" s="333"/>
      <c r="AT247" s="328" t="s">
        <v>617</v>
      </c>
      <c r="AU247" s="328" t="s">
        <v>266</v>
      </c>
      <c r="AV247" s="325" t="s">
        <v>266</v>
      </c>
      <c r="AW247" s="325" t="s">
        <v>531</v>
      </c>
      <c r="AX247" s="325" t="s">
        <v>260</v>
      </c>
      <c r="AY247" s="328" t="s">
        <v>608</v>
      </c>
    </row>
    <row r="248" spans="2:65" s="200" customFormat="1" ht="16.5" customHeight="1">
      <c r="B248" s="201"/>
      <c r="C248" s="309" t="s">
        <v>324</v>
      </c>
      <c r="D248" s="309" t="s">
        <v>610</v>
      </c>
      <c r="E248" s="310" t="s">
        <v>793</v>
      </c>
      <c r="F248" s="311" t="s">
        <v>1281</v>
      </c>
      <c r="G248" s="312" t="s">
        <v>261</v>
      </c>
      <c r="H248" s="313">
        <v>75</v>
      </c>
      <c r="I248" s="314"/>
      <c r="J248" s="315">
        <f>ROUND(I248*H248,2)</f>
        <v>0</v>
      </c>
      <c r="K248" s="311" t="s">
        <v>613</v>
      </c>
      <c r="L248" s="201"/>
      <c r="M248" s="316" t="s">
        <v>180</v>
      </c>
      <c r="N248" s="317" t="s">
        <v>539</v>
      </c>
      <c r="P248" s="318">
        <f>O248*H248</f>
        <v>0</v>
      </c>
      <c r="Q248" s="318">
        <v>0</v>
      </c>
      <c r="R248" s="318">
        <f>Q248*H248</f>
        <v>0</v>
      </c>
      <c r="S248" s="318">
        <v>0</v>
      </c>
      <c r="T248" s="319">
        <f>S248*H248</f>
        <v>0</v>
      </c>
      <c r="AR248" s="320" t="s">
        <v>269</v>
      </c>
      <c r="AT248" s="320" t="s">
        <v>610</v>
      </c>
      <c r="AU248" s="320" t="s">
        <v>266</v>
      </c>
      <c r="AY248" s="185" t="s">
        <v>608</v>
      </c>
      <c r="BE248" s="321">
        <f>IF(N248="základní",J248,0)</f>
        <v>0</v>
      </c>
      <c r="BF248" s="321">
        <f>IF(N248="snížená",J248,0)</f>
        <v>0</v>
      </c>
      <c r="BG248" s="321">
        <f>IF(N248="zákl. přenesená",J248,0)</f>
        <v>0</v>
      </c>
      <c r="BH248" s="321">
        <f>IF(N248="sníž. přenesená",J248,0)</f>
        <v>0</v>
      </c>
      <c r="BI248" s="321">
        <f>IF(N248="nulová",J248,0)</f>
        <v>0</v>
      </c>
      <c r="BJ248" s="185" t="s">
        <v>260</v>
      </c>
      <c r="BK248" s="321">
        <f>ROUND(I248*H248,2)</f>
        <v>0</v>
      </c>
      <c r="BL248" s="185" t="s">
        <v>269</v>
      </c>
      <c r="BM248" s="320" t="s">
        <v>795</v>
      </c>
    </row>
    <row r="249" spans="2:47" s="200" customFormat="1" ht="15">
      <c r="B249" s="201"/>
      <c r="D249" s="327" t="s">
        <v>1247</v>
      </c>
      <c r="F249" s="460" t="s">
        <v>794</v>
      </c>
      <c r="I249" s="323"/>
      <c r="L249" s="201"/>
      <c r="M249" s="324"/>
      <c r="T249" s="225"/>
      <c r="AT249" s="185" t="s">
        <v>1247</v>
      </c>
      <c r="AU249" s="185" t="s">
        <v>266</v>
      </c>
    </row>
    <row r="250" spans="2:47" s="200" customFormat="1" ht="15">
      <c r="B250" s="201"/>
      <c r="D250" s="322" t="s">
        <v>615</v>
      </c>
      <c r="F250" s="397" t="s">
        <v>796</v>
      </c>
      <c r="I250" s="323"/>
      <c r="L250" s="201"/>
      <c r="M250" s="324"/>
      <c r="T250" s="225"/>
      <c r="AT250" s="185" t="s">
        <v>615</v>
      </c>
      <c r="AU250" s="185" t="s">
        <v>266</v>
      </c>
    </row>
    <row r="251" spans="2:51" s="325" customFormat="1" ht="15">
      <c r="B251" s="326"/>
      <c r="D251" s="327" t="s">
        <v>617</v>
      </c>
      <c r="E251" s="328" t="s">
        <v>180</v>
      </c>
      <c r="F251" s="329" t="s">
        <v>783</v>
      </c>
      <c r="H251" s="330">
        <v>75</v>
      </c>
      <c r="I251" s="331"/>
      <c r="L251" s="326"/>
      <c r="M251" s="332"/>
      <c r="T251" s="333"/>
      <c r="AT251" s="328" t="s">
        <v>617</v>
      </c>
      <c r="AU251" s="328" t="s">
        <v>266</v>
      </c>
      <c r="AV251" s="325" t="s">
        <v>266</v>
      </c>
      <c r="AW251" s="325" t="s">
        <v>531</v>
      </c>
      <c r="AX251" s="325" t="s">
        <v>260</v>
      </c>
      <c r="AY251" s="328" t="s">
        <v>608</v>
      </c>
    </row>
    <row r="252" spans="2:65" s="200" customFormat="1" ht="24.2" customHeight="1">
      <c r="B252" s="201"/>
      <c r="C252" s="309" t="s">
        <v>327</v>
      </c>
      <c r="D252" s="309" t="s">
        <v>610</v>
      </c>
      <c r="E252" s="310" t="s">
        <v>797</v>
      </c>
      <c r="F252" s="311" t="s">
        <v>798</v>
      </c>
      <c r="G252" s="312" t="s">
        <v>261</v>
      </c>
      <c r="H252" s="313">
        <v>75</v>
      </c>
      <c r="I252" s="314"/>
      <c r="J252" s="315">
        <f>ROUND(I252*H252,2)</f>
        <v>0</v>
      </c>
      <c r="K252" s="311" t="s">
        <v>180</v>
      </c>
      <c r="L252" s="201"/>
      <c r="M252" s="316" t="s">
        <v>180</v>
      </c>
      <c r="N252" s="317" t="s">
        <v>539</v>
      </c>
      <c r="P252" s="318">
        <f>O252*H252</f>
        <v>0</v>
      </c>
      <c r="Q252" s="318">
        <v>0</v>
      </c>
      <c r="R252" s="318">
        <f>Q252*H252</f>
        <v>0</v>
      </c>
      <c r="S252" s="318">
        <v>0</v>
      </c>
      <c r="T252" s="319">
        <f>S252*H252</f>
        <v>0</v>
      </c>
      <c r="AR252" s="320" t="s">
        <v>269</v>
      </c>
      <c r="AT252" s="320" t="s">
        <v>610</v>
      </c>
      <c r="AU252" s="320" t="s">
        <v>266</v>
      </c>
      <c r="AY252" s="185" t="s">
        <v>608</v>
      </c>
      <c r="BE252" s="321">
        <f>IF(N252="základní",J252,0)</f>
        <v>0</v>
      </c>
      <c r="BF252" s="321">
        <f>IF(N252="snížená",J252,0)</f>
        <v>0</v>
      </c>
      <c r="BG252" s="321">
        <f>IF(N252="zákl. přenesená",J252,0)</f>
        <v>0</v>
      </c>
      <c r="BH252" s="321">
        <f>IF(N252="sníž. přenesená",J252,0)</f>
        <v>0</v>
      </c>
      <c r="BI252" s="321">
        <f>IF(N252="nulová",J252,0)</f>
        <v>0</v>
      </c>
      <c r="BJ252" s="185" t="s">
        <v>260</v>
      </c>
      <c r="BK252" s="321">
        <f>ROUND(I252*H252,2)</f>
        <v>0</v>
      </c>
      <c r="BL252" s="185" t="s">
        <v>269</v>
      </c>
      <c r="BM252" s="320" t="s">
        <v>799</v>
      </c>
    </row>
    <row r="253" spans="2:47" s="200" customFormat="1" ht="15">
      <c r="B253" s="201"/>
      <c r="D253" s="327" t="s">
        <v>1247</v>
      </c>
      <c r="F253" s="460" t="s">
        <v>798</v>
      </c>
      <c r="I253" s="323"/>
      <c r="L253" s="201"/>
      <c r="M253" s="324"/>
      <c r="T253" s="225"/>
      <c r="AT253" s="185" t="s">
        <v>1247</v>
      </c>
      <c r="AU253" s="185" t="s">
        <v>266</v>
      </c>
    </row>
    <row r="254" spans="2:51" s="325" customFormat="1" ht="15">
      <c r="B254" s="326"/>
      <c r="D254" s="327" t="s">
        <v>617</v>
      </c>
      <c r="E254" s="328" t="s">
        <v>180</v>
      </c>
      <c r="F254" s="329" t="s">
        <v>783</v>
      </c>
      <c r="H254" s="330">
        <v>75</v>
      </c>
      <c r="I254" s="331"/>
      <c r="L254" s="326"/>
      <c r="M254" s="332"/>
      <c r="T254" s="333"/>
      <c r="AT254" s="328" t="s">
        <v>617</v>
      </c>
      <c r="AU254" s="328" t="s">
        <v>266</v>
      </c>
      <c r="AV254" s="325" t="s">
        <v>266</v>
      </c>
      <c r="AW254" s="325" t="s">
        <v>531</v>
      </c>
      <c r="AX254" s="325" t="s">
        <v>260</v>
      </c>
      <c r="AY254" s="328" t="s">
        <v>608</v>
      </c>
    </row>
    <row r="255" spans="2:65" s="200" customFormat="1" ht="24.2" customHeight="1">
      <c r="B255" s="201"/>
      <c r="C255" s="309" t="s">
        <v>328</v>
      </c>
      <c r="D255" s="309" t="s">
        <v>610</v>
      </c>
      <c r="E255" s="310" t="s">
        <v>800</v>
      </c>
      <c r="F255" s="311" t="s">
        <v>801</v>
      </c>
      <c r="G255" s="312" t="s">
        <v>261</v>
      </c>
      <c r="H255" s="313">
        <v>75</v>
      </c>
      <c r="I255" s="314"/>
      <c r="J255" s="315">
        <f>ROUND(I255*H255,2)</f>
        <v>0</v>
      </c>
      <c r="K255" s="311" t="s">
        <v>180</v>
      </c>
      <c r="L255" s="201"/>
      <c r="M255" s="316" t="s">
        <v>180</v>
      </c>
      <c r="N255" s="317" t="s">
        <v>539</v>
      </c>
      <c r="P255" s="318">
        <f>O255*H255</f>
        <v>0</v>
      </c>
      <c r="Q255" s="318">
        <v>0</v>
      </c>
      <c r="R255" s="318">
        <f>Q255*H255</f>
        <v>0</v>
      </c>
      <c r="S255" s="318">
        <v>0</v>
      </c>
      <c r="T255" s="319">
        <f>S255*H255</f>
        <v>0</v>
      </c>
      <c r="AR255" s="320" t="s">
        <v>269</v>
      </c>
      <c r="AT255" s="320" t="s">
        <v>610</v>
      </c>
      <c r="AU255" s="320" t="s">
        <v>266</v>
      </c>
      <c r="AY255" s="185" t="s">
        <v>608</v>
      </c>
      <c r="BE255" s="321">
        <f>IF(N255="základní",J255,0)</f>
        <v>0</v>
      </c>
      <c r="BF255" s="321">
        <f>IF(N255="snížená",J255,0)</f>
        <v>0</v>
      </c>
      <c r="BG255" s="321">
        <f>IF(N255="zákl. přenesená",J255,0)</f>
        <v>0</v>
      </c>
      <c r="BH255" s="321">
        <f>IF(N255="sníž. přenesená",J255,0)</f>
        <v>0</v>
      </c>
      <c r="BI255" s="321">
        <f>IF(N255="nulová",J255,0)</f>
        <v>0</v>
      </c>
      <c r="BJ255" s="185" t="s">
        <v>260</v>
      </c>
      <c r="BK255" s="321">
        <f>ROUND(I255*H255,2)</f>
        <v>0</v>
      </c>
      <c r="BL255" s="185" t="s">
        <v>269</v>
      </c>
      <c r="BM255" s="320" t="s">
        <v>802</v>
      </c>
    </row>
    <row r="256" spans="2:47" s="200" customFormat="1" ht="15">
      <c r="B256" s="201"/>
      <c r="D256" s="327" t="s">
        <v>1247</v>
      </c>
      <c r="F256" s="460" t="s">
        <v>801</v>
      </c>
      <c r="I256" s="323"/>
      <c r="L256" s="201"/>
      <c r="M256" s="324"/>
      <c r="T256" s="225"/>
      <c r="AT256" s="185" t="s">
        <v>1247</v>
      </c>
      <c r="AU256" s="185" t="s">
        <v>266</v>
      </c>
    </row>
    <row r="257" spans="2:51" s="325" customFormat="1" ht="15">
      <c r="B257" s="326"/>
      <c r="D257" s="327" t="s">
        <v>617</v>
      </c>
      <c r="E257" s="328" t="s">
        <v>180</v>
      </c>
      <c r="F257" s="329" t="s">
        <v>783</v>
      </c>
      <c r="H257" s="330">
        <v>75</v>
      </c>
      <c r="I257" s="331"/>
      <c r="L257" s="326"/>
      <c r="M257" s="332"/>
      <c r="T257" s="333"/>
      <c r="AT257" s="328" t="s">
        <v>617</v>
      </c>
      <c r="AU257" s="328" t="s">
        <v>266</v>
      </c>
      <c r="AV257" s="325" t="s">
        <v>266</v>
      </c>
      <c r="AW257" s="325" t="s">
        <v>531</v>
      </c>
      <c r="AX257" s="325" t="s">
        <v>260</v>
      </c>
      <c r="AY257" s="328" t="s">
        <v>608</v>
      </c>
    </row>
    <row r="258" spans="2:65" s="200" customFormat="1" ht="16.5" customHeight="1">
      <c r="B258" s="201"/>
      <c r="C258" s="309" t="s">
        <v>329</v>
      </c>
      <c r="D258" s="309" t="s">
        <v>610</v>
      </c>
      <c r="E258" s="310" t="s">
        <v>803</v>
      </c>
      <c r="F258" s="311" t="s">
        <v>1282</v>
      </c>
      <c r="G258" s="312" t="s">
        <v>261</v>
      </c>
      <c r="H258" s="313">
        <v>590</v>
      </c>
      <c r="I258" s="314"/>
      <c r="J258" s="315">
        <f>ROUND(I258*H258,2)</f>
        <v>0</v>
      </c>
      <c r="K258" s="311" t="s">
        <v>613</v>
      </c>
      <c r="L258" s="201"/>
      <c r="M258" s="316" t="s">
        <v>180</v>
      </c>
      <c r="N258" s="317" t="s">
        <v>539</v>
      </c>
      <c r="P258" s="318">
        <f>O258*H258</f>
        <v>0</v>
      </c>
      <c r="Q258" s="318">
        <v>0.1837</v>
      </c>
      <c r="R258" s="318">
        <f>Q258*H258</f>
        <v>108.383</v>
      </c>
      <c r="S258" s="318">
        <v>0</v>
      </c>
      <c r="T258" s="319">
        <f>S258*H258</f>
        <v>0</v>
      </c>
      <c r="AR258" s="320" t="s">
        <v>269</v>
      </c>
      <c r="AT258" s="320" t="s">
        <v>610</v>
      </c>
      <c r="AU258" s="320" t="s">
        <v>266</v>
      </c>
      <c r="AY258" s="185" t="s">
        <v>608</v>
      </c>
      <c r="BE258" s="321">
        <f>IF(N258="základní",J258,0)</f>
        <v>0</v>
      </c>
      <c r="BF258" s="321">
        <f>IF(N258="snížená",J258,0)</f>
        <v>0</v>
      </c>
      <c r="BG258" s="321">
        <f>IF(N258="zákl. přenesená",J258,0)</f>
        <v>0</v>
      </c>
      <c r="BH258" s="321">
        <f>IF(N258="sníž. přenesená",J258,0)</f>
        <v>0</v>
      </c>
      <c r="BI258" s="321">
        <f>IF(N258="nulová",J258,0)</f>
        <v>0</v>
      </c>
      <c r="BJ258" s="185" t="s">
        <v>260</v>
      </c>
      <c r="BK258" s="321">
        <f>ROUND(I258*H258,2)</f>
        <v>0</v>
      </c>
      <c r="BL258" s="185" t="s">
        <v>269</v>
      </c>
      <c r="BM258" s="320" t="s">
        <v>805</v>
      </c>
    </row>
    <row r="259" spans="2:47" s="200" customFormat="1" ht="19.5">
      <c r="B259" s="201"/>
      <c r="D259" s="327" t="s">
        <v>1247</v>
      </c>
      <c r="F259" s="460" t="s">
        <v>804</v>
      </c>
      <c r="I259" s="323"/>
      <c r="L259" s="201"/>
      <c r="M259" s="324"/>
      <c r="T259" s="225"/>
      <c r="AT259" s="185" t="s">
        <v>1247</v>
      </c>
      <c r="AU259" s="185" t="s">
        <v>266</v>
      </c>
    </row>
    <row r="260" spans="2:47" s="200" customFormat="1" ht="15">
      <c r="B260" s="201"/>
      <c r="D260" s="322" t="s">
        <v>615</v>
      </c>
      <c r="F260" s="397" t="s">
        <v>806</v>
      </c>
      <c r="I260" s="323"/>
      <c r="L260" s="201"/>
      <c r="M260" s="324"/>
      <c r="T260" s="225"/>
      <c r="AT260" s="185" t="s">
        <v>615</v>
      </c>
      <c r="AU260" s="185" t="s">
        <v>266</v>
      </c>
    </row>
    <row r="261" spans="2:51" s="342" customFormat="1" ht="15">
      <c r="B261" s="343"/>
      <c r="D261" s="327" t="s">
        <v>617</v>
      </c>
      <c r="E261" s="344" t="s">
        <v>180</v>
      </c>
      <c r="F261" s="345" t="s">
        <v>807</v>
      </c>
      <c r="H261" s="344" t="s">
        <v>180</v>
      </c>
      <c r="I261" s="346"/>
      <c r="L261" s="343"/>
      <c r="M261" s="347"/>
      <c r="T261" s="348"/>
      <c r="AT261" s="344" t="s">
        <v>617</v>
      </c>
      <c r="AU261" s="344" t="s">
        <v>266</v>
      </c>
      <c r="AV261" s="342" t="s">
        <v>260</v>
      </c>
      <c r="AW261" s="342" t="s">
        <v>531</v>
      </c>
      <c r="AX261" s="342" t="s">
        <v>301</v>
      </c>
      <c r="AY261" s="344" t="s">
        <v>608</v>
      </c>
    </row>
    <row r="262" spans="2:51" s="325" customFormat="1" ht="15">
      <c r="B262" s="326"/>
      <c r="D262" s="327" t="s">
        <v>617</v>
      </c>
      <c r="E262" s="328" t="s">
        <v>180</v>
      </c>
      <c r="F262" s="329" t="s">
        <v>1283</v>
      </c>
      <c r="H262" s="330">
        <v>590</v>
      </c>
      <c r="I262" s="331"/>
      <c r="L262" s="326"/>
      <c r="M262" s="332"/>
      <c r="T262" s="333"/>
      <c r="AT262" s="328" t="s">
        <v>617</v>
      </c>
      <c r="AU262" s="328" t="s">
        <v>266</v>
      </c>
      <c r="AV262" s="325" t="s">
        <v>266</v>
      </c>
      <c r="AW262" s="325" t="s">
        <v>531</v>
      </c>
      <c r="AX262" s="325" t="s">
        <v>260</v>
      </c>
      <c r="AY262" s="328" t="s">
        <v>608</v>
      </c>
    </row>
    <row r="263" spans="2:65" s="200" customFormat="1" ht="16.5" customHeight="1">
      <c r="B263" s="201"/>
      <c r="C263" s="349" t="s">
        <v>330</v>
      </c>
      <c r="D263" s="349" t="s">
        <v>728</v>
      </c>
      <c r="E263" s="350" t="s">
        <v>808</v>
      </c>
      <c r="F263" s="351" t="s">
        <v>809</v>
      </c>
      <c r="G263" s="352" t="s">
        <v>261</v>
      </c>
      <c r="H263" s="353">
        <v>601.8</v>
      </c>
      <c r="I263" s="354"/>
      <c r="J263" s="355">
        <f>ROUND(I263*H263,2)</f>
        <v>0</v>
      </c>
      <c r="K263" s="351" t="s">
        <v>613</v>
      </c>
      <c r="L263" s="356"/>
      <c r="M263" s="357" t="s">
        <v>180</v>
      </c>
      <c r="N263" s="358" t="s">
        <v>539</v>
      </c>
      <c r="P263" s="318">
        <f>O263*H263</f>
        <v>0</v>
      </c>
      <c r="Q263" s="318">
        <v>0.228</v>
      </c>
      <c r="R263" s="318">
        <f>Q263*H263</f>
        <v>137.2104</v>
      </c>
      <c r="S263" s="318">
        <v>0</v>
      </c>
      <c r="T263" s="319">
        <f>S263*H263</f>
        <v>0</v>
      </c>
      <c r="AR263" s="320" t="s">
        <v>273</v>
      </c>
      <c r="AT263" s="320" t="s">
        <v>728</v>
      </c>
      <c r="AU263" s="320" t="s">
        <v>266</v>
      </c>
      <c r="AY263" s="185" t="s">
        <v>608</v>
      </c>
      <c r="BE263" s="321">
        <f>IF(N263="základní",J263,0)</f>
        <v>0</v>
      </c>
      <c r="BF263" s="321">
        <f>IF(N263="snížená",J263,0)</f>
        <v>0</v>
      </c>
      <c r="BG263" s="321">
        <f>IF(N263="zákl. přenesená",J263,0)</f>
        <v>0</v>
      </c>
      <c r="BH263" s="321">
        <f>IF(N263="sníž. přenesená",J263,0)</f>
        <v>0</v>
      </c>
      <c r="BI263" s="321">
        <f>IF(N263="nulová",J263,0)</f>
        <v>0</v>
      </c>
      <c r="BJ263" s="185" t="s">
        <v>260</v>
      </c>
      <c r="BK263" s="321">
        <f>ROUND(I263*H263,2)</f>
        <v>0</v>
      </c>
      <c r="BL263" s="185" t="s">
        <v>269</v>
      </c>
      <c r="BM263" s="320" t="s">
        <v>810</v>
      </c>
    </row>
    <row r="264" spans="2:47" s="200" customFormat="1" ht="15">
      <c r="B264" s="201"/>
      <c r="D264" s="327" t="s">
        <v>1247</v>
      </c>
      <c r="F264" s="460" t="s">
        <v>809</v>
      </c>
      <c r="I264" s="323"/>
      <c r="L264" s="201"/>
      <c r="M264" s="324"/>
      <c r="T264" s="225"/>
      <c r="AT264" s="185" t="s">
        <v>1247</v>
      </c>
      <c r="AU264" s="185" t="s">
        <v>266</v>
      </c>
    </row>
    <row r="265" spans="2:51" s="325" customFormat="1" ht="15">
      <c r="B265" s="326"/>
      <c r="D265" s="327" t="s">
        <v>617</v>
      </c>
      <c r="F265" s="329" t="s">
        <v>811</v>
      </c>
      <c r="H265" s="330">
        <v>601.8</v>
      </c>
      <c r="I265" s="331"/>
      <c r="L265" s="326"/>
      <c r="M265" s="332"/>
      <c r="T265" s="333"/>
      <c r="AT265" s="328" t="s">
        <v>617</v>
      </c>
      <c r="AU265" s="328" t="s">
        <v>266</v>
      </c>
      <c r="AV265" s="325" t="s">
        <v>266</v>
      </c>
      <c r="AW265" s="325" t="s">
        <v>511</v>
      </c>
      <c r="AX265" s="325" t="s">
        <v>260</v>
      </c>
      <c r="AY265" s="328" t="s">
        <v>608</v>
      </c>
    </row>
    <row r="266" spans="2:65" s="200" customFormat="1" ht="16.5" customHeight="1">
      <c r="B266" s="201"/>
      <c r="C266" s="309" t="s">
        <v>331</v>
      </c>
      <c r="D266" s="309" t="s">
        <v>610</v>
      </c>
      <c r="E266" s="310" t="s">
        <v>812</v>
      </c>
      <c r="F266" s="311" t="s">
        <v>1282</v>
      </c>
      <c r="G266" s="312" t="s">
        <v>261</v>
      </c>
      <c r="H266" s="313">
        <v>459</v>
      </c>
      <c r="I266" s="314"/>
      <c r="J266" s="315">
        <f>ROUND(I266*H266,2)</f>
        <v>0</v>
      </c>
      <c r="K266" s="311" t="s">
        <v>613</v>
      </c>
      <c r="L266" s="201"/>
      <c r="M266" s="316" t="s">
        <v>180</v>
      </c>
      <c r="N266" s="317" t="s">
        <v>539</v>
      </c>
      <c r="P266" s="318">
        <f>O266*H266</f>
        <v>0</v>
      </c>
      <c r="Q266" s="318">
        <v>0.1837</v>
      </c>
      <c r="R266" s="318">
        <f>Q266*H266</f>
        <v>84.31830000000001</v>
      </c>
      <c r="S266" s="318">
        <v>0</v>
      </c>
      <c r="T266" s="319">
        <f>S266*H266</f>
        <v>0</v>
      </c>
      <c r="AR266" s="320" t="s">
        <v>269</v>
      </c>
      <c r="AT266" s="320" t="s">
        <v>610</v>
      </c>
      <c r="AU266" s="320" t="s">
        <v>266</v>
      </c>
      <c r="AY266" s="185" t="s">
        <v>608</v>
      </c>
      <c r="BE266" s="321">
        <f>IF(N266="základní",J266,0)</f>
        <v>0</v>
      </c>
      <c r="BF266" s="321">
        <f>IF(N266="snížená",J266,0)</f>
        <v>0</v>
      </c>
      <c r="BG266" s="321">
        <f>IF(N266="zákl. přenesená",J266,0)</f>
        <v>0</v>
      </c>
      <c r="BH266" s="321">
        <f>IF(N266="sníž. přenesená",J266,0)</f>
        <v>0</v>
      </c>
      <c r="BI266" s="321">
        <f>IF(N266="nulová",J266,0)</f>
        <v>0</v>
      </c>
      <c r="BJ266" s="185" t="s">
        <v>260</v>
      </c>
      <c r="BK266" s="321">
        <f>ROUND(I266*H266,2)</f>
        <v>0</v>
      </c>
      <c r="BL266" s="185" t="s">
        <v>269</v>
      </c>
      <c r="BM266" s="320" t="s">
        <v>813</v>
      </c>
    </row>
    <row r="267" spans="2:47" s="200" customFormat="1" ht="19.5">
      <c r="B267" s="201"/>
      <c r="D267" s="327" t="s">
        <v>1247</v>
      </c>
      <c r="F267" s="460" t="s">
        <v>804</v>
      </c>
      <c r="I267" s="323"/>
      <c r="L267" s="201"/>
      <c r="M267" s="324"/>
      <c r="T267" s="225"/>
      <c r="AT267" s="185" t="s">
        <v>1247</v>
      </c>
      <c r="AU267" s="185" t="s">
        <v>266</v>
      </c>
    </row>
    <row r="268" spans="2:47" s="200" customFormat="1" ht="15">
      <c r="B268" s="201"/>
      <c r="D268" s="322" t="s">
        <v>615</v>
      </c>
      <c r="F268" s="397" t="s">
        <v>814</v>
      </c>
      <c r="I268" s="323"/>
      <c r="L268" s="201"/>
      <c r="M268" s="324"/>
      <c r="T268" s="225"/>
      <c r="AT268" s="185" t="s">
        <v>615</v>
      </c>
      <c r="AU268" s="185" t="s">
        <v>266</v>
      </c>
    </row>
    <row r="269" spans="2:51" s="342" customFormat="1" ht="15">
      <c r="B269" s="343"/>
      <c r="D269" s="327" t="s">
        <v>617</v>
      </c>
      <c r="E269" s="344" t="s">
        <v>180</v>
      </c>
      <c r="F269" s="345" t="s">
        <v>807</v>
      </c>
      <c r="H269" s="344" t="s">
        <v>180</v>
      </c>
      <c r="I269" s="346"/>
      <c r="L269" s="343"/>
      <c r="M269" s="347"/>
      <c r="T269" s="348"/>
      <c r="AT269" s="344" t="s">
        <v>617</v>
      </c>
      <c r="AU269" s="344" t="s">
        <v>266</v>
      </c>
      <c r="AV269" s="342" t="s">
        <v>260</v>
      </c>
      <c r="AW269" s="342" t="s">
        <v>531</v>
      </c>
      <c r="AX269" s="342" t="s">
        <v>301</v>
      </c>
      <c r="AY269" s="344" t="s">
        <v>608</v>
      </c>
    </row>
    <row r="270" spans="2:51" s="325" customFormat="1" ht="15">
      <c r="B270" s="326"/>
      <c r="D270" s="327" t="s">
        <v>617</v>
      </c>
      <c r="E270" s="328" t="s">
        <v>180</v>
      </c>
      <c r="F270" s="329" t="s">
        <v>815</v>
      </c>
      <c r="H270" s="330">
        <v>459</v>
      </c>
      <c r="I270" s="331"/>
      <c r="L270" s="326"/>
      <c r="M270" s="332"/>
      <c r="T270" s="333"/>
      <c r="AT270" s="328" t="s">
        <v>617</v>
      </c>
      <c r="AU270" s="328" t="s">
        <v>266</v>
      </c>
      <c r="AV270" s="325" t="s">
        <v>266</v>
      </c>
      <c r="AW270" s="325" t="s">
        <v>531</v>
      </c>
      <c r="AX270" s="325" t="s">
        <v>260</v>
      </c>
      <c r="AY270" s="328" t="s">
        <v>608</v>
      </c>
    </row>
    <row r="271" spans="2:65" s="200" customFormat="1" ht="16.5" customHeight="1">
      <c r="B271" s="201"/>
      <c r="C271" s="349" t="s">
        <v>332</v>
      </c>
      <c r="D271" s="349" t="s">
        <v>728</v>
      </c>
      <c r="E271" s="350" t="s">
        <v>816</v>
      </c>
      <c r="F271" s="351" t="s">
        <v>817</v>
      </c>
      <c r="G271" s="352" t="s">
        <v>261</v>
      </c>
      <c r="H271" s="353">
        <v>400.35</v>
      </c>
      <c r="I271" s="354"/>
      <c r="J271" s="355">
        <f>ROUND(I271*H271,2)</f>
        <v>0</v>
      </c>
      <c r="K271" s="351" t="s">
        <v>180</v>
      </c>
      <c r="L271" s="356"/>
      <c r="M271" s="357" t="s">
        <v>180</v>
      </c>
      <c r="N271" s="358" t="s">
        <v>539</v>
      </c>
      <c r="P271" s="318">
        <f>O271*H271</f>
        <v>0</v>
      </c>
      <c r="Q271" s="318">
        <v>0.118</v>
      </c>
      <c r="R271" s="318">
        <f>Q271*H271</f>
        <v>47.2413</v>
      </c>
      <c r="S271" s="318">
        <v>0</v>
      </c>
      <c r="T271" s="319">
        <f>S271*H271</f>
        <v>0</v>
      </c>
      <c r="AR271" s="320" t="s">
        <v>273</v>
      </c>
      <c r="AT271" s="320" t="s">
        <v>728</v>
      </c>
      <c r="AU271" s="320" t="s">
        <v>266</v>
      </c>
      <c r="AY271" s="185" t="s">
        <v>608</v>
      </c>
      <c r="BE271" s="321">
        <f>IF(N271="základní",J271,0)</f>
        <v>0</v>
      </c>
      <c r="BF271" s="321">
        <f>IF(N271="snížená",J271,0)</f>
        <v>0</v>
      </c>
      <c r="BG271" s="321">
        <f>IF(N271="zákl. přenesená",J271,0)</f>
        <v>0</v>
      </c>
      <c r="BH271" s="321">
        <f>IF(N271="sníž. přenesená",J271,0)</f>
        <v>0</v>
      </c>
      <c r="BI271" s="321">
        <f>IF(N271="nulová",J271,0)</f>
        <v>0</v>
      </c>
      <c r="BJ271" s="185" t="s">
        <v>260</v>
      </c>
      <c r="BK271" s="321">
        <f>ROUND(I271*H271,2)</f>
        <v>0</v>
      </c>
      <c r="BL271" s="185" t="s">
        <v>269</v>
      </c>
      <c r="BM271" s="320" t="s">
        <v>818</v>
      </c>
    </row>
    <row r="272" spans="2:47" s="200" customFormat="1" ht="15">
      <c r="B272" s="201"/>
      <c r="D272" s="327" t="s">
        <v>1247</v>
      </c>
      <c r="F272" s="460" t="s">
        <v>817</v>
      </c>
      <c r="I272" s="323"/>
      <c r="L272" s="201"/>
      <c r="M272" s="324"/>
      <c r="T272" s="225"/>
      <c r="AT272" s="185" t="s">
        <v>1247</v>
      </c>
      <c r="AU272" s="185" t="s">
        <v>266</v>
      </c>
    </row>
    <row r="273" spans="2:51" s="325" customFormat="1" ht="15">
      <c r="B273" s="326"/>
      <c r="D273" s="327" t="s">
        <v>617</v>
      </c>
      <c r="F273" s="329" t="s">
        <v>819</v>
      </c>
      <c r="H273" s="330">
        <v>400.35</v>
      </c>
      <c r="I273" s="331"/>
      <c r="L273" s="326"/>
      <c r="M273" s="332"/>
      <c r="T273" s="333"/>
      <c r="AT273" s="328" t="s">
        <v>617</v>
      </c>
      <c r="AU273" s="328" t="s">
        <v>266</v>
      </c>
      <c r="AV273" s="325" t="s">
        <v>266</v>
      </c>
      <c r="AW273" s="325" t="s">
        <v>511</v>
      </c>
      <c r="AX273" s="325" t="s">
        <v>260</v>
      </c>
      <c r="AY273" s="328" t="s">
        <v>608</v>
      </c>
    </row>
    <row r="274" spans="2:65" s="200" customFormat="1" ht="16.5" customHeight="1">
      <c r="B274" s="201"/>
      <c r="C274" s="349" t="s">
        <v>333</v>
      </c>
      <c r="D274" s="349" t="s">
        <v>728</v>
      </c>
      <c r="E274" s="350" t="s">
        <v>820</v>
      </c>
      <c r="F274" s="351" t="s">
        <v>821</v>
      </c>
      <c r="G274" s="352" t="s">
        <v>261</v>
      </c>
      <c r="H274" s="353">
        <v>6.426</v>
      </c>
      <c r="I274" s="354"/>
      <c r="J274" s="355">
        <f>ROUND(I274*H274,2)</f>
        <v>0</v>
      </c>
      <c r="K274" s="351" t="s">
        <v>180</v>
      </c>
      <c r="L274" s="356"/>
      <c r="M274" s="357" t="s">
        <v>180</v>
      </c>
      <c r="N274" s="358" t="s">
        <v>539</v>
      </c>
      <c r="P274" s="318">
        <f>O274*H274</f>
        <v>0</v>
      </c>
      <c r="Q274" s="318">
        <v>0.118</v>
      </c>
      <c r="R274" s="318">
        <f>Q274*H274</f>
        <v>0.7582679999999999</v>
      </c>
      <c r="S274" s="318">
        <v>0</v>
      </c>
      <c r="T274" s="319">
        <f>S274*H274</f>
        <v>0</v>
      </c>
      <c r="AR274" s="320" t="s">
        <v>273</v>
      </c>
      <c r="AT274" s="320" t="s">
        <v>728</v>
      </c>
      <c r="AU274" s="320" t="s">
        <v>266</v>
      </c>
      <c r="AY274" s="185" t="s">
        <v>608</v>
      </c>
      <c r="BE274" s="321">
        <f>IF(N274="základní",J274,0)</f>
        <v>0</v>
      </c>
      <c r="BF274" s="321">
        <f>IF(N274="snížená",J274,0)</f>
        <v>0</v>
      </c>
      <c r="BG274" s="321">
        <f>IF(N274="zákl. přenesená",J274,0)</f>
        <v>0</v>
      </c>
      <c r="BH274" s="321">
        <f>IF(N274="sníž. přenesená",J274,0)</f>
        <v>0</v>
      </c>
      <c r="BI274" s="321">
        <f>IF(N274="nulová",J274,0)</f>
        <v>0</v>
      </c>
      <c r="BJ274" s="185" t="s">
        <v>260</v>
      </c>
      <c r="BK274" s="321">
        <f>ROUND(I274*H274,2)</f>
        <v>0</v>
      </c>
      <c r="BL274" s="185" t="s">
        <v>269</v>
      </c>
      <c r="BM274" s="320" t="s">
        <v>822</v>
      </c>
    </row>
    <row r="275" spans="2:47" s="200" customFormat="1" ht="15">
      <c r="B275" s="201"/>
      <c r="D275" s="327" t="s">
        <v>1247</v>
      </c>
      <c r="F275" s="460" t="s">
        <v>821</v>
      </c>
      <c r="I275" s="323"/>
      <c r="L275" s="201"/>
      <c r="M275" s="324"/>
      <c r="T275" s="225"/>
      <c r="AT275" s="185" t="s">
        <v>1247</v>
      </c>
      <c r="AU275" s="185" t="s">
        <v>266</v>
      </c>
    </row>
    <row r="276" spans="2:51" s="325" customFormat="1" ht="15">
      <c r="B276" s="326"/>
      <c r="D276" s="327" t="s">
        <v>617</v>
      </c>
      <c r="F276" s="329" t="s">
        <v>823</v>
      </c>
      <c r="H276" s="330">
        <v>6.426</v>
      </c>
      <c r="I276" s="331"/>
      <c r="L276" s="326"/>
      <c r="M276" s="332"/>
      <c r="T276" s="333"/>
      <c r="AT276" s="328" t="s">
        <v>617</v>
      </c>
      <c r="AU276" s="328" t="s">
        <v>266</v>
      </c>
      <c r="AV276" s="325" t="s">
        <v>266</v>
      </c>
      <c r="AW276" s="325" t="s">
        <v>511</v>
      </c>
      <c r="AX276" s="325" t="s">
        <v>260</v>
      </c>
      <c r="AY276" s="328" t="s">
        <v>608</v>
      </c>
    </row>
    <row r="277" spans="2:65" s="200" customFormat="1" ht="16.5" customHeight="1">
      <c r="B277" s="201"/>
      <c r="C277" s="349" t="s">
        <v>334</v>
      </c>
      <c r="D277" s="349" t="s">
        <v>728</v>
      </c>
      <c r="E277" s="350" t="s">
        <v>824</v>
      </c>
      <c r="F277" s="351" t="s">
        <v>825</v>
      </c>
      <c r="G277" s="352" t="s">
        <v>261</v>
      </c>
      <c r="H277" s="353">
        <v>36.924</v>
      </c>
      <c r="I277" s="354"/>
      <c r="J277" s="355">
        <f>ROUND(I277*H277,2)</f>
        <v>0</v>
      </c>
      <c r="K277" s="351" t="s">
        <v>180</v>
      </c>
      <c r="L277" s="356"/>
      <c r="M277" s="357" t="s">
        <v>180</v>
      </c>
      <c r="N277" s="358" t="s">
        <v>539</v>
      </c>
      <c r="P277" s="318">
        <f>O277*H277</f>
        <v>0</v>
      </c>
      <c r="Q277" s="318">
        <v>0.118</v>
      </c>
      <c r="R277" s="318">
        <f>Q277*H277</f>
        <v>4.357031999999999</v>
      </c>
      <c r="S277" s="318">
        <v>0</v>
      </c>
      <c r="T277" s="319">
        <f>S277*H277</f>
        <v>0</v>
      </c>
      <c r="AR277" s="320" t="s">
        <v>273</v>
      </c>
      <c r="AT277" s="320" t="s">
        <v>728</v>
      </c>
      <c r="AU277" s="320" t="s">
        <v>266</v>
      </c>
      <c r="AY277" s="185" t="s">
        <v>608</v>
      </c>
      <c r="BE277" s="321">
        <f>IF(N277="základní",J277,0)</f>
        <v>0</v>
      </c>
      <c r="BF277" s="321">
        <f>IF(N277="snížená",J277,0)</f>
        <v>0</v>
      </c>
      <c r="BG277" s="321">
        <f>IF(N277="zákl. přenesená",J277,0)</f>
        <v>0</v>
      </c>
      <c r="BH277" s="321">
        <f>IF(N277="sníž. přenesená",J277,0)</f>
        <v>0</v>
      </c>
      <c r="BI277" s="321">
        <f>IF(N277="nulová",J277,0)</f>
        <v>0</v>
      </c>
      <c r="BJ277" s="185" t="s">
        <v>260</v>
      </c>
      <c r="BK277" s="321">
        <f>ROUND(I277*H277,2)</f>
        <v>0</v>
      </c>
      <c r="BL277" s="185" t="s">
        <v>269</v>
      </c>
      <c r="BM277" s="320" t="s">
        <v>826</v>
      </c>
    </row>
    <row r="278" spans="2:47" s="200" customFormat="1" ht="15">
      <c r="B278" s="201"/>
      <c r="D278" s="327" t="s">
        <v>1247</v>
      </c>
      <c r="F278" s="460" t="s">
        <v>825</v>
      </c>
      <c r="I278" s="323"/>
      <c r="L278" s="201"/>
      <c r="M278" s="324"/>
      <c r="T278" s="225"/>
      <c r="AT278" s="185" t="s">
        <v>1247</v>
      </c>
      <c r="AU278" s="185" t="s">
        <v>266</v>
      </c>
    </row>
    <row r="279" spans="2:51" s="325" customFormat="1" ht="15">
      <c r="B279" s="326"/>
      <c r="D279" s="327" t="s">
        <v>617</v>
      </c>
      <c r="F279" s="329" t="s">
        <v>827</v>
      </c>
      <c r="H279" s="330">
        <v>36.924</v>
      </c>
      <c r="I279" s="331"/>
      <c r="L279" s="326"/>
      <c r="M279" s="332"/>
      <c r="T279" s="333"/>
      <c r="AT279" s="328" t="s">
        <v>617</v>
      </c>
      <c r="AU279" s="328" t="s">
        <v>266</v>
      </c>
      <c r="AV279" s="325" t="s">
        <v>266</v>
      </c>
      <c r="AW279" s="325" t="s">
        <v>511</v>
      </c>
      <c r="AX279" s="325" t="s">
        <v>260</v>
      </c>
      <c r="AY279" s="328" t="s">
        <v>608</v>
      </c>
    </row>
    <row r="280" spans="2:65" s="200" customFormat="1" ht="16.5" customHeight="1">
      <c r="B280" s="201"/>
      <c r="C280" s="349" t="s">
        <v>335</v>
      </c>
      <c r="D280" s="349" t="s">
        <v>728</v>
      </c>
      <c r="E280" s="350" t="s">
        <v>828</v>
      </c>
      <c r="F280" s="351" t="s">
        <v>829</v>
      </c>
      <c r="G280" s="352" t="s">
        <v>261</v>
      </c>
      <c r="H280" s="353">
        <v>24.48</v>
      </c>
      <c r="I280" s="354"/>
      <c r="J280" s="355">
        <f>ROUND(I280*H280,2)</f>
        <v>0</v>
      </c>
      <c r="K280" s="351" t="s">
        <v>180</v>
      </c>
      <c r="L280" s="356"/>
      <c r="M280" s="357" t="s">
        <v>180</v>
      </c>
      <c r="N280" s="358" t="s">
        <v>539</v>
      </c>
      <c r="P280" s="318">
        <f>O280*H280</f>
        <v>0</v>
      </c>
      <c r="Q280" s="318">
        <v>0.118</v>
      </c>
      <c r="R280" s="318">
        <f>Q280*H280</f>
        <v>2.88864</v>
      </c>
      <c r="S280" s="318">
        <v>0</v>
      </c>
      <c r="T280" s="319">
        <f>S280*H280</f>
        <v>0</v>
      </c>
      <c r="AR280" s="320" t="s">
        <v>273</v>
      </c>
      <c r="AT280" s="320" t="s">
        <v>728</v>
      </c>
      <c r="AU280" s="320" t="s">
        <v>266</v>
      </c>
      <c r="AY280" s="185" t="s">
        <v>608</v>
      </c>
      <c r="BE280" s="321">
        <f>IF(N280="základní",J280,0)</f>
        <v>0</v>
      </c>
      <c r="BF280" s="321">
        <f>IF(N280="snížená",J280,0)</f>
        <v>0</v>
      </c>
      <c r="BG280" s="321">
        <f>IF(N280="zákl. přenesená",J280,0)</f>
        <v>0</v>
      </c>
      <c r="BH280" s="321">
        <f>IF(N280="sníž. přenesená",J280,0)</f>
        <v>0</v>
      </c>
      <c r="BI280" s="321">
        <f>IF(N280="nulová",J280,0)</f>
        <v>0</v>
      </c>
      <c r="BJ280" s="185" t="s">
        <v>260</v>
      </c>
      <c r="BK280" s="321">
        <f>ROUND(I280*H280,2)</f>
        <v>0</v>
      </c>
      <c r="BL280" s="185" t="s">
        <v>269</v>
      </c>
      <c r="BM280" s="320" t="s">
        <v>830</v>
      </c>
    </row>
    <row r="281" spans="2:47" s="200" customFormat="1" ht="15">
      <c r="B281" s="201"/>
      <c r="D281" s="327" t="s">
        <v>1247</v>
      </c>
      <c r="F281" s="460" t="s">
        <v>829</v>
      </c>
      <c r="I281" s="323"/>
      <c r="L281" s="201"/>
      <c r="M281" s="324"/>
      <c r="T281" s="225"/>
      <c r="AT281" s="185" t="s">
        <v>1247</v>
      </c>
      <c r="AU281" s="185" t="s">
        <v>266</v>
      </c>
    </row>
    <row r="282" spans="2:51" s="325" customFormat="1" ht="15">
      <c r="B282" s="326"/>
      <c r="D282" s="327" t="s">
        <v>617</v>
      </c>
      <c r="F282" s="329" t="s">
        <v>831</v>
      </c>
      <c r="H282" s="330">
        <v>24.48</v>
      </c>
      <c r="I282" s="331"/>
      <c r="L282" s="326"/>
      <c r="M282" s="332"/>
      <c r="T282" s="333"/>
      <c r="AT282" s="328" t="s">
        <v>617</v>
      </c>
      <c r="AU282" s="328" t="s">
        <v>266</v>
      </c>
      <c r="AV282" s="325" t="s">
        <v>266</v>
      </c>
      <c r="AW282" s="325" t="s">
        <v>511</v>
      </c>
      <c r="AX282" s="325" t="s">
        <v>260</v>
      </c>
      <c r="AY282" s="328" t="s">
        <v>608</v>
      </c>
    </row>
    <row r="283" spans="2:63" s="296" customFormat="1" ht="22.9" customHeight="1">
      <c r="B283" s="297"/>
      <c r="D283" s="298" t="s">
        <v>565</v>
      </c>
      <c r="E283" s="307" t="s">
        <v>273</v>
      </c>
      <c r="F283" s="307" t="s">
        <v>832</v>
      </c>
      <c r="I283" s="300"/>
      <c r="J283" s="308">
        <f>BK283</f>
        <v>0</v>
      </c>
      <c r="L283" s="297"/>
      <c r="M283" s="302"/>
      <c r="P283" s="303">
        <f>SUM(P284:P305)</f>
        <v>0</v>
      </c>
      <c r="R283" s="303">
        <f>SUM(R284:R305)</f>
        <v>8.41024</v>
      </c>
      <c r="T283" s="304">
        <f>SUM(T284:T305)</f>
        <v>0.6</v>
      </c>
      <c r="AR283" s="298" t="s">
        <v>260</v>
      </c>
      <c r="AT283" s="305" t="s">
        <v>565</v>
      </c>
      <c r="AU283" s="305" t="s">
        <v>260</v>
      </c>
      <c r="AY283" s="298" t="s">
        <v>608</v>
      </c>
      <c r="BK283" s="306">
        <f>SUM(BK284:BK305)</f>
        <v>0</v>
      </c>
    </row>
    <row r="284" spans="2:65" s="200" customFormat="1" ht="16.5" customHeight="1">
      <c r="B284" s="201"/>
      <c r="C284" s="309" t="s">
        <v>336</v>
      </c>
      <c r="D284" s="309" t="s">
        <v>610</v>
      </c>
      <c r="E284" s="310" t="s">
        <v>833</v>
      </c>
      <c r="F284" s="311" t="s">
        <v>834</v>
      </c>
      <c r="G284" s="312" t="s">
        <v>267</v>
      </c>
      <c r="H284" s="313">
        <v>4</v>
      </c>
      <c r="I284" s="314"/>
      <c r="J284" s="315">
        <f>ROUND(I284*H284,2)</f>
        <v>0</v>
      </c>
      <c r="K284" s="311" t="s">
        <v>180</v>
      </c>
      <c r="L284" s="201"/>
      <c r="M284" s="316" t="s">
        <v>180</v>
      </c>
      <c r="N284" s="317" t="s">
        <v>539</v>
      </c>
      <c r="P284" s="318">
        <f>O284*H284</f>
        <v>0</v>
      </c>
      <c r="Q284" s="318">
        <v>0</v>
      </c>
      <c r="R284" s="318">
        <f>Q284*H284</f>
        <v>0</v>
      </c>
      <c r="S284" s="318">
        <v>0</v>
      </c>
      <c r="T284" s="319">
        <f>S284*H284</f>
        <v>0</v>
      </c>
      <c r="AR284" s="320" t="s">
        <v>269</v>
      </c>
      <c r="AT284" s="320" t="s">
        <v>610</v>
      </c>
      <c r="AU284" s="320" t="s">
        <v>266</v>
      </c>
      <c r="AY284" s="185" t="s">
        <v>608</v>
      </c>
      <c r="BE284" s="321">
        <f>IF(N284="základní",J284,0)</f>
        <v>0</v>
      </c>
      <c r="BF284" s="321">
        <f>IF(N284="snížená",J284,0)</f>
        <v>0</v>
      </c>
      <c r="BG284" s="321">
        <f>IF(N284="zákl. přenesená",J284,0)</f>
        <v>0</v>
      </c>
      <c r="BH284" s="321">
        <f>IF(N284="sníž. přenesená",J284,0)</f>
        <v>0</v>
      </c>
      <c r="BI284" s="321">
        <f>IF(N284="nulová",J284,0)</f>
        <v>0</v>
      </c>
      <c r="BJ284" s="185" t="s">
        <v>260</v>
      </c>
      <c r="BK284" s="321">
        <f>ROUND(I284*H284,2)</f>
        <v>0</v>
      </c>
      <c r="BL284" s="185" t="s">
        <v>269</v>
      </c>
      <c r="BM284" s="320" t="s">
        <v>835</v>
      </c>
    </row>
    <row r="285" spans="2:47" s="200" customFormat="1" ht="15">
      <c r="B285" s="201"/>
      <c r="D285" s="327" t="s">
        <v>1247</v>
      </c>
      <c r="F285" s="460" t="s">
        <v>834</v>
      </c>
      <c r="I285" s="323"/>
      <c r="L285" s="201"/>
      <c r="M285" s="324"/>
      <c r="T285" s="225"/>
      <c r="AT285" s="185" t="s">
        <v>1247</v>
      </c>
      <c r="AU285" s="185" t="s">
        <v>266</v>
      </c>
    </row>
    <row r="286" spans="2:51" s="325" customFormat="1" ht="15">
      <c r="B286" s="326"/>
      <c r="D286" s="327" t="s">
        <v>617</v>
      </c>
      <c r="E286" s="328" t="s">
        <v>180</v>
      </c>
      <c r="F286" s="329" t="s">
        <v>836</v>
      </c>
      <c r="H286" s="330">
        <v>4</v>
      </c>
      <c r="I286" s="331"/>
      <c r="L286" s="326"/>
      <c r="M286" s="332"/>
      <c r="T286" s="333"/>
      <c r="AT286" s="328" t="s">
        <v>617</v>
      </c>
      <c r="AU286" s="328" t="s">
        <v>266</v>
      </c>
      <c r="AV286" s="325" t="s">
        <v>266</v>
      </c>
      <c r="AW286" s="325" t="s">
        <v>531</v>
      </c>
      <c r="AX286" s="325" t="s">
        <v>260</v>
      </c>
      <c r="AY286" s="328" t="s">
        <v>608</v>
      </c>
    </row>
    <row r="287" spans="2:65" s="200" customFormat="1" ht="16.5" customHeight="1">
      <c r="B287" s="201"/>
      <c r="C287" s="309" t="s">
        <v>337</v>
      </c>
      <c r="D287" s="309" t="s">
        <v>610</v>
      </c>
      <c r="E287" s="310" t="s">
        <v>837</v>
      </c>
      <c r="F287" s="311" t="s">
        <v>838</v>
      </c>
      <c r="G287" s="312" t="s">
        <v>267</v>
      </c>
      <c r="H287" s="313">
        <v>4</v>
      </c>
      <c r="I287" s="314"/>
      <c r="J287" s="315">
        <f>ROUND(I287*H287,2)</f>
        <v>0</v>
      </c>
      <c r="K287" s="311" t="s">
        <v>180</v>
      </c>
      <c r="L287" s="201"/>
      <c r="M287" s="316" t="s">
        <v>180</v>
      </c>
      <c r="N287" s="317" t="s">
        <v>539</v>
      </c>
      <c r="P287" s="318">
        <f>O287*H287</f>
        <v>0</v>
      </c>
      <c r="Q287" s="318">
        <v>0.3409</v>
      </c>
      <c r="R287" s="318">
        <f>Q287*H287</f>
        <v>1.3636</v>
      </c>
      <c r="S287" s="318">
        <v>0</v>
      </c>
      <c r="T287" s="319">
        <f>S287*H287</f>
        <v>0</v>
      </c>
      <c r="AR287" s="320" t="s">
        <v>269</v>
      </c>
      <c r="AT287" s="320" t="s">
        <v>610</v>
      </c>
      <c r="AU287" s="320" t="s">
        <v>266</v>
      </c>
      <c r="AY287" s="185" t="s">
        <v>608</v>
      </c>
      <c r="BE287" s="321">
        <f>IF(N287="základní",J287,0)</f>
        <v>0</v>
      </c>
      <c r="BF287" s="321">
        <f>IF(N287="snížená",J287,0)</f>
        <v>0</v>
      </c>
      <c r="BG287" s="321">
        <f>IF(N287="zákl. přenesená",J287,0)</f>
        <v>0</v>
      </c>
      <c r="BH287" s="321">
        <f>IF(N287="sníž. přenesená",J287,0)</f>
        <v>0</v>
      </c>
      <c r="BI287" s="321">
        <f>IF(N287="nulová",J287,0)</f>
        <v>0</v>
      </c>
      <c r="BJ287" s="185" t="s">
        <v>260</v>
      </c>
      <c r="BK287" s="321">
        <f>ROUND(I287*H287,2)</f>
        <v>0</v>
      </c>
      <c r="BL287" s="185" t="s">
        <v>269</v>
      </c>
      <c r="BM287" s="320" t="s">
        <v>839</v>
      </c>
    </row>
    <row r="288" spans="2:47" s="200" customFormat="1" ht="15">
      <c r="B288" s="201"/>
      <c r="D288" s="327" t="s">
        <v>1247</v>
      </c>
      <c r="F288" s="460" t="s">
        <v>838</v>
      </c>
      <c r="I288" s="323"/>
      <c r="L288" s="201"/>
      <c r="M288" s="324"/>
      <c r="T288" s="225"/>
      <c r="AT288" s="185" t="s">
        <v>1247</v>
      </c>
      <c r="AU288" s="185" t="s">
        <v>266</v>
      </c>
    </row>
    <row r="289" spans="2:51" s="325" customFormat="1" ht="15">
      <c r="B289" s="326"/>
      <c r="D289" s="327" t="s">
        <v>617</v>
      </c>
      <c r="E289" s="328" t="s">
        <v>180</v>
      </c>
      <c r="F289" s="329" t="s">
        <v>840</v>
      </c>
      <c r="H289" s="330">
        <v>4</v>
      </c>
      <c r="I289" s="331"/>
      <c r="L289" s="326"/>
      <c r="M289" s="332"/>
      <c r="T289" s="333"/>
      <c r="AT289" s="328" t="s">
        <v>617</v>
      </c>
      <c r="AU289" s="328" t="s">
        <v>266</v>
      </c>
      <c r="AV289" s="325" t="s">
        <v>266</v>
      </c>
      <c r="AW289" s="325" t="s">
        <v>531</v>
      </c>
      <c r="AX289" s="325" t="s">
        <v>260</v>
      </c>
      <c r="AY289" s="328" t="s">
        <v>608</v>
      </c>
    </row>
    <row r="290" spans="2:65" s="200" customFormat="1" ht="16.5" customHeight="1">
      <c r="B290" s="201"/>
      <c r="C290" s="309" t="s">
        <v>339</v>
      </c>
      <c r="D290" s="309" t="s">
        <v>610</v>
      </c>
      <c r="E290" s="310" t="s">
        <v>841</v>
      </c>
      <c r="F290" s="311" t="s">
        <v>1284</v>
      </c>
      <c r="G290" s="312" t="s">
        <v>267</v>
      </c>
      <c r="H290" s="313">
        <v>4</v>
      </c>
      <c r="I290" s="314"/>
      <c r="J290" s="315">
        <f>ROUND(I290*H290,2)</f>
        <v>0</v>
      </c>
      <c r="K290" s="311" t="s">
        <v>613</v>
      </c>
      <c r="L290" s="201"/>
      <c r="M290" s="316" t="s">
        <v>180</v>
      </c>
      <c r="N290" s="317" t="s">
        <v>539</v>
      </c>
      <c r="P290" s="318">
        <f>O290*H290</f>
        <v>0</v>
      </c>
      <c r="Q290" s="318">
        <v>0</v>
      </c>
      <c r="R290" s="318">
        <f>Q290*H290</f>
        <v>0</v>
      </c>
      <c r="S290" s="318">
        <v>0.15</v>
      </c>
      <c r="T290" s="319">
        <f>S290*H290</f>
        <v>0.6</v>
      </c>
      <c r="AR290" s="320" t="s">
        <v>269</v>
      </c>
      <c r="AT290" s="320" t="s">
        <v>610</v>
      </c>
      <c r="AU290" s="320" t="s">
        <v>266</v>
      </c>
      <c r="AY290" s="185" t="s">
        <v>608</v>
      </c>
      <c r="BE290" s="321">
        <f>IF(N290="základní",J290,0)</f>
        <v>0</v>
      </c>
      <c r="BF290" s="321">
        <f>IF(N290="snížená",J290,0)</f>
        <v>0</v>
      </c>
      <c r="BG290" s="321">
        <f>IF(N290="zákl. přenesená",J290,0)</f>
        <v>0</v>
      </c>
      <c r="BH290" s="321">
        <f>IF(N290="sníž. přenesená",J290,0)</f>
        <v>0</v>
      </c>
      <c r="BI290" s="321">
        <f>IF(N290="nulová",J290,0)</f>
        <v>0</v>
      </c>
      <c r="BJ290" s="185" t="s">
        <v>260</v>
      </c>
      <c r="BK290" s="321">
        <f>ROUND(I290*H290,2)</f>
        <v>0</v>
      </c>
      <c r="BL290" s="185" t="s">
        <v>269</v>
      </c>
      <c r="BM290" s="320" t="s">
        <v>843</v>
      </c>
    </row>
    <row r="291" spans="2:47" s="200" customFormat="1" ht="15">
      <c r="B291" s="201"/>
      <c r="D291" s="327" t="s">
        <v>1247</v>
      </c>
      <c r="F291" s="460" t="s">
        <v>842</v>
      </c>
      <c r="I291" s="323"/>
      <c r="L291" s="201"/>
      <c r="M291" s="324"/>
      <c r="T291" s="225"/>
      <c r="AT291" s="185" t="s">
        <v>1247</v>
      </c>
      <c r="AU291" s="185" t="s">
        <v>266</v>
      </c>
    </row>
    <row r="292" spans="2:47" s="200" customFormat="1" ht="15">
      <c r="B292" s="201"/>
      <c r="D292" s="322" t="s">
        <v>615</v>
      </c>
      <c r="F292" s="397" t="s">
        <v>844</v>
      </c>
      <c r="I292" s="323"/>
      <c r="L292" s="201"/>
      <c r="M292" s="324"/>
      <c r="T292" s="225"/>
      <c r="AT292" s="185" t="s">
        <v>615</v>
      </c>
      <c r="AU292" s="185" t="s">
        <v>266</v>
      </c>
    </row>
    <row r="293" spans="2:51" s="325" customFormat="1" ht="15">
      <c r="B293" s="326"/>
      <c r="D293" s="327" t="s">
        <v>617</v>
      </c>
      <c r="E293" s="328" t="s">
        <v>180</v>
      </c>
      <c r="F293" s="329" t="s">
        <v>845</v>
      </c>
      <c r="H293" s="330">
        <v>4</v>
      </c>
      <c r="I293" s="331"/>
      <c r="L293" s="326"/>
      <c r="M293" s="332"/>
      <c r="T293" s="333"/>
      <c r="AT293" s="328" t="s">
        <v>617</v>
      </c>
      <c r="AU293" s="328" t="s">
        <v>266</v>
      </c>
      <c r="AV293" s="325" t="s">
        <v>266</v>
      </c>
      <c r="AW293" s="325" t="s">
        <v>531</v>
      </c>
      <c r="AX293" s="325" t="s">
        <v>260</v>
      </c>
      <c r="AY293" s="328" t="s">
        <v>608</v>
      </c>
    </row>
    <row r="294" spans="2:65" s="200" customFormat="1" ht="16.5" customHeight="1">
      <c r="B294" s="201"/>
      <c r="C294" s="309" t="s">
        <v>341</v>
      </c>
      <c r="D294" s="309" t="s">
        <v>610</v>
      </c>
      <c r="E294" s="310" t="s">
        <v>846</v>
      </c>
      <c r="F294" s="311" t="s">
        <v>847</v>
      </c>
      <c r="G294" s="312" t="s">
        <v>267</v>
      </c>
      <c r="H294" s="313">
        <v>4</v>
      </c>
      <c r="I294" s="314"/>
      <c r="J294" s="315">
        <f>ROUND(I294*H294,2)</f>
        <v>0</v>
      </c>
      <c r="K294" s="311" t="s">
        <v>613</v>
      </c>
      <c r="L294" s="201"/>
      <c r="M294" s="316" t="s">
        <v>180</v>
      </c>
      <c r="N294" s="317" t="s">
        <v>539</v>
      </c>
      <c r="P294" s="318">
        <f>O294*H294</f>
        <v>0</v>
      </c>
      <c r="Q294" s="318">
        <v>0.21734</v>
      </c>
      <c r="R294" s="318">
        <f>Q294*H294</f>
        <v>0.86936</v>
      </c>
      <c r="S294" s="318">
        <v>0</v>
      </c>
      <c r="T294" s="319">
        <f>S294*H294</f>
        <v>0</v>
      </c>
      <c r="AR294" s="320" t="s">
        <v>269</v>
      </c>
      <c r="AT294" s="320" t="s">
        <v>610</v>
      </c>
      <c r="AU294" s="320" t="s">
        <v>266</v>
      </c>
      <c r="AY294" s="185" t="s">
        <v>608</v>
      </c>
      <c r="BE294" s="321">
        <f>IF(N294="základní",J294,0)</f>
        <v>0</v>
      </c>
      <c r="BF294" s="321">
        <f>IF(N294="snížená",J294,0)</f>
        <v>0</v>
      </c>
      <c r="BG294" s="321">
        <f>IF(N294="zákl. přenesená",J294,0)</f>
        <v>0</v>
      </c>
      <c r="BH294" s="321">
        <f>IF(N294="sníž. přenesená",J294,0)</f>
        <v>0</v>
      </c>
      <c r="BI294" s="321">
        <f>IF(N294="nulová",J294,0)</f>
        <v>0</v>
      </c>
      <c r="BJ294" s="185" t="s">
        <v>260</v>
      </c>
      <c r="BK294" s="321">
        <f>ROUND(I294*H294,2)</f>
        <v>0</v>
      </c>
      <c r="BL294" s="185" t="s">
        <v>269</v>
      </c>
      <c r="BM294" s="320" t="s">
        <v>848</v>
      </c>
    </row>
    <row r="295" spans="2:47" s="200" customFormat="1" ht="15">
      <c r="B295" s="201"/>
      <c r="D295" s="327" t="s">
        <v>1247</v>
      </c>
      <c r="F295" s="460" t="s">
        <v>847</v>
      </c>
      <c r="I295" s="323"/>
      <c r="L295" s="201"/>
      <c r="M295" s="324"/>
      <c r="T295" s="225"/>
      <c r="AT295" s="185" t="s">
        <v>1247</v>
      </c>
      <c r="AU295" s="185" t="s">
        <v>266</v>
      </c>
    </row>
    <row r="296" spans="2:47" s="200" customFormat="1" ht="15">
      <c r="B296" s="201"/>
      <c r="D296" s="322" t="s">
        <v>615</v>
      </c>
      <c r="F296" s="397" t="s">
        <v>849</v>
      </c>
      <c r="I296" s="323"/>
      <c r="L296" s="201"/>
      <c r="M296" s="324"/>
      <c r="T296" s="225"/>
      <c r="AT296" s="185" t="s">
        <v>615</v>
      </c>
      <c r="AU296" s="185" t="s">
        <v>266</v>
      </c>
    </row>
    <row r="297" spans="2:51" s="325" customFormat="1" ht="15">
      <c r="B297" s="326"/>
      <c r="D297" s="327" t="s">
        <v>617</v>
      </c>
      <c r="E297" s="328" t="s">
        <v>180</v>
      </c>
      <c r="F297" s="329" t="s">
        <v>845</v>
      </c>
      <c r="H297" s="330">
        <v>4</v>
      </c>
      <c r="I297" s="331"/>
      <c r="L297" s="326"/>
      <c r="M297" s="332"/>
      <c r="T297" s="333"/>
      <c r="AT297" s="328" t="s">
        <v>617</v>
      </c>
      <c r="AU297" s="328" t="s">
        <v>266</v>
      </c>
      <c r="AV297" s="325" t="s">
        <v>266</v>
      </c>
      <c r="AW297" s="325" t="s">
        <v>531</v>
      </c>
      <c r="AX297" s="325" t="s">
        <v>260</v>
      </c>
      <c r="AY297" s="328" t="s">
        <v>608</v>
      </c>
    </row>
    <row r="298" spans="2:65" s="200" customFormat="1" ht="16.5" customHeight="1">
      <c r="B298" s="201"/>
      <c r="C298" s="349" t="s">
        <v>344</v>
      </c>
      <c r="D298" s="349" t="s">
        <v>728</v>
      </c>
      <c r="E298" s="350" t="s">
        <v>850</v>
      </c>
      <c r="F298" s="351" t="s">
        <v>851</v>
      </c>
      <c r="G298" s="352" t="s">
        <v>267</v>
      </c>
      <c r="H298" s="353">
        <v>4</v>
      </c>
      <c r="I298" s="354"/>
      <c r="J298" s="355">
        <f>ROUND(I298*H298,2)</f>
        <v>0</v>
      </c>
      <c r="K298" s="351" t="s">
        <v>613</v>
      </c>
      <c r="L298" s="356"/>
      <c r="M298" s="357" t="s">
        <v>180</v>
      </c>
      <c r="N298" s="358" t="s">
        <v>539</v>
      </c>
      <c r="P298" s="318">
        <f>O298*H298</f>
        <v>0</v>
      </c>
      <c r="Q298" s="318">
        <v>0.06</v>
      </c>
      <c r="R298" s="318">
        <f>Q298*H298</f>
        <v>0.24</v>
      </c>
      <c r="S298" s="318">
        <v>0</v>
      </c>
      <c r="T298" s="319">
        <f>S298*H298</f>
        <v>0</v>
      </c>
      <c r="AR298" s="320" t="s">
        <v>273</v>
      </c>
      <c r="AT298" s="320" t="s">
        <v>728</v>
      </c>
      <c r="AU298" s="320" t="s">
        <v>266</v>
      </c>
      <c r="AY298" s="185" t="s">
        <v>608</v>
      </c>
      <c r="BE298" s="321">
        <f>IF(N298="základní",J298,0)</f>
        <v>0</v>
      </c>
      <c r="BF298" s="321">
        <f>IF(N298="snížená",J298,0)</f>
        <v>0</v>
      </c>
      <c r="BG298" s="321">
        <f>IF(N298="zákl. přenesená",J298,0)</f>
        <v>0</v>
      </c>
      <c r="BH298" s="321">
        <f>IF(N298="sníž. přenesená",J298,0)</f>
        <v>0</v>
      </c>
      <c r="BI298" s="321">
        <f>IF(N298="nulová",J298,0)</f>
        <v>0</v>
      </c>
      <c r="BJ298" s="185" t="s">
        <v>260</v>
      </c>
      <c r="BK298" s="321">
        <f>ROUND(I298*H298,2)</f>
        <v>0</v>
      </c>
      <c r="BL298" s="185" t="s">
        <v>269</v>
      </c>
      <c r="BM298" s="320" t="s">
        <v>852</v>
      </c>
    </row>
    <row r="299" spans="2:47" s="200" customFormat="1" ht="15">
      <c r="B299" s="201"/>
      <c r="D299" s="327" t="s">
        <v>1247</v>
      </c>
      <c r="F299" s="460" t="s">
        <v>851</v>
      </c>
      <c r="I299" s="323"/>
      <c r="L299" s="201"/>
      <c r="M299" s="324"/>
      <c r="T299" s="225"/>
      <c r="AT299" s="185" t="s">
        <v>1247</v>
      </c>
      <c r="AU299" s="185" t="s">
        <v>266</v>
      </c>
    </row>
    <row r="300" spans="2:65" s="200" customFormat="1" ht="16.5" customHeight="1">
      <c r="B300" s="201"/>
      <c r="C300" s="349" t="s">
        <v>346</v>
      </c>
      <c r="D300" s="349" t="s">
        <v>728</v>
      </c>
      <c r="E300" s="350" t="s">
        <v>853</v>
      </c>
      <c r="F300" s="351" t="s">
        <v>854</v>
      </c>
      <c r="G300" s="352" t="s">
        <v>267</v>
      </c>
      <c r="H300" s="353">
        <v>4</v>
      </c>
      <c r="I300" s="354"/>
      <c r="J300" s="355">
        <f>ROUND(I300*H300,2)</f>
        <v>0</v>
      </c>
      <c r="K300" s="351" t="s">
        <v>613</v>
      </c>
      <c r="L300" s="356"/>
      <c r="M300" s="357" t="s">
        <v>180</v>
      </c>
      <c r="N300" s="358" t="s">
        <v>539</v>
      </c>
      <c r="P300" s="318">
        <f>O300*H300</f>
        <v>0</v>
      </c>
      <c r="Q300" s="318">
        <v>0.0072</v>
      </c>
      <c r="R300" s="318">
        <f>Q300*H300</f>
        <v>0.0288</v>
      </c>
      <c r="S300" s="318">
        <v>0</v>
      </c>
      <c r="T300" s="319">
        <f>S300*H300</f>
        <v>0</v>
      </c>
      <c r="AR300" s="320" t="s">
        <v>273</v>
      </c>
      <c r="AT300" s="320" t="s">
        <v>728</v>
      </c>
      <c r="AU300" s="320" t="s">
        <v>266</v>
      </c>
      <c r="AY300" s="185" t="s">
        <v>608</v>
      </c>
      <c r="BE300" s="321">
        <f>IF(N300="základní",J300,0)</f>
        <v>0</v>
      </c>
      <c r="BF300" s="321">
        <f>IF(N300="snížená",J300,0)</f>
        <v>0</v>
      </c>
      <c r="BG300" s="321">
        <f>IF(N300="zákl. přenesená",J300,0)</f>
        <v>0</v>
      </c>
      <c r="BH300" s="321">
        <f>IF(N300="sníž. přenesená",J300,0)</f>
        <v>0</v>
      </c>
      <c r="BI300" s="321">
        <f>IF(N300="nulová",J300,0)</f>
        <v>0</v>
      </c>
      <c r="BJ300" s="185" t="s">
        <v>260</v>
      </c>
      <c r="BK300" s="321">
        <f>ROUND(I300*H300,2)</f>
        <v>0</v>
      </c>
      <c r="BL300" s="185" t="s">
        <v>269</v>
      </c>
      <c r="BM300" s="320" t="s">
        <v>855</v>
      </c>
    </row>
    <row r="301" spans="2:47" s="200" customFormat="1" ht="15">
      <c r="B301" s="201"/>
      <c r="D301" s="327" t="s">
        <v>1247</v>
      </c>
      <c r="F301" s="460" t="s">
        <v>854</v>
      </c>
      <c r="I301" s="323"/>
      <c r="L301" s="201"/>
      <c r="M301" s="324"/>
      <c r="T301" s="225"/>
      <c r="AT301" s="185" t="s">
        <v>1247</v>
      </c>
      <c r="AU301" s="185" t="s">
        <v>266</v>
      </c>
    </row>
    <row r="302" spans="2:65" s="200" customFormat="1" ht="16.5" customHeight="1">
      <c r="B302" s="201"/>
      <c r="C302" s="309" t="s">
        <v>348</v>
      </c>
      <c r="D302" s="309" t="s">
        <v>610</v>
      </c>
      <c r="E302" s="310" t="s">
        <v>856</v>
      </c>
      <c r="F302" s="311" t="s">
        <v>857</v>
      </c>
      <c r="G302" s="312" t="s">
        <v>267</v>
      </c>
      <c r="H302" s="313">
        <v>6</v>
      </c>
      <c r="I302" s="314"/>
      <c r="J302" s="315">
        <f>ROUND(I302*H302,2)</f>
        <v>0</v>
      </c>
      <c r="K302" s="311" t="s">
        <v>180</v>
      </c>
      <c r="L302" s="201"/>
      <c r="M302" s="316" t="s">
        <v>180</v>
      </c>
      <c r="N302" s="317" t="s">
        <v>539</v>
      </c>
      <c r="P302" s="318">
        <f>O302*H302</f>
        <v>0</v>
      </c>
      <c r="Q302" s="318">
        <v>0.42368</v>
      </c>
      <c r="R302" s="318">
        <f>Q302*H302</f>
        <v>2.54208</v>
      </c>
      <c r="S302" s="318">
        <v>0</v>
      </c>
      <c r="T302" s="319">
        <f>S302*H302</f>
        <v>0</v>
      </c>
      <c r="AR302" s="320" t="s">
        <v>269</v>
      </c>
      <c r="AT302" s="320" t="s">
        <v>610</v>
      </c>
      <c r="AU302" s="320" t="s">
        <v>266</v>
      </c>
      <c r="AY302" s="185" t="s">
        <v>608</v>
      </c>
      <c r="BE302" s="321">
        <f>IF(N302="základní",J302,0)</f>
        <v>0</v>
      </c>
      <c r="BF302" s="321">
        <f>IF(N302="snížená",J302,0)</f>
        <v>0</v>
      </c>
      <c r="BG302" s="321">
        <f>IF(N302="zákl. přenesená",J302,0)</f>
        <v>0</v>
      </c>
      <c r="BH302" s="321">
        <f>IF(N302="sníž. přenesená",J302,0)</f>
        <v>0</v>
      </c>
      <c r="BI302" s="321">
        <f>IF(N302="nulová",J302,0)</f>
        <v>0</v>
      </c>
      <c r="BJ302" s="185" t="s">
        <v>260</v>
      </c>
      <c r="BK302" s="321">
        <f>ROUND(I302*H302,2)</f>
        <v>0</v>
      </c>
      <c r="BL302" s="185" t="s">
        <v>269</v>
      </c>
      <c r="BM302" s="320" t="s">
        <v>858</v>
      </c>
    </row>
    <row r="303" spans="2:47" s="200" customFormat="1" ht="15">
      <c r="B303" s="201"/>
      <c r="D303" s="327" t="s">
        <v>1247</v>
      </c>
      <c r="F303" s="460" t="s">
        <v>857</v>
      </c>
      <c r="I303" s="323"/>
      <c r="L303" s="201"/>
      <c r="M303" s="324"/>
      <c r="T303" s="225"/>
      <c r="AT303" s="185" t="s">
        <v>1247</v>
      </c>
      <c r="AU303" s="185" t="s">
        <v>266</v>
      </c>
    </row>
    <row r="304" spans="2:65" s="200" customFormat="1" ht="16.5" customHeight="1">
      <c r="B304" s="201"/>
      <c r="C304" s="309" t="s">
        <v>351</v>
      </c>
      <c r="D304" s="309" t="s">
        <v>610</v>
      </c>
      <c r="E304" s="310" t="s">
        <v>859</v>
      </c>
      <c r="F304" s="311" t="s">
        <v>860</v>
      </c>
      <c r="G304" s="312" t="s">
        <v>267</v>
      </c>
      <c r="H304" s="313">
        <v>8</v>
      </c>
      <c r="I304" s="314"/>
      <c r="J304" s="315">
        <f>ROUND(I304*H304,2)</f>
        <v>0</v>
      </c>
      <c r="K304" s="311" t="s">
        <v>180</v>
      </c>
      <c r="L304" s="201"/>
      <c r="M304" s="316" t="s">
        <v>180</v>
      </c>
      <c r="N304" s="317" t="s">
        <v>539</v>
      </c>
      <c r="P304" s="318">
        <f>O304*H304</f>
        <v>0</v>
      </c>
      <c r="Q304" s="318">
        <v>0.4208</v>
      </c>
      <c r="R304" s="318">
        <f>Q304*H304</f>
        <v>3.3664</v>
      </c>
      <c r="S304" s="318">
        <v>0</v>
      </c>
      <c r="T304" s="319">
        <f>S304*H304</f>
        <v>0</v>
      </c>
      <c r="AR304" s="320" t="s">
        <v>269</v>
      </c>
      <c r="AT304" s="320" t="s">
        <v>610</v>
      </c>
      <c r="AU304" s="320" t="s">
        <v>266</v>
      </c>
      <c r="AY304" s="185" t="s">
        <v>608</v>
      </c>
      <c r="BE304" s="321">
        <f>IF(N304="základní",J304,0)</f>
        <v>0</v>
      </c>
      <c r="BF304" s="321">
        <f>IF(N304="snížená",J304,0)</f>
        <v>0</v>
      </c>
      <c r="BG304" s="321">
        <f>IF(N304="zákl. přenesená",J304,0)</f>
        <v>0</v>
      </c>
      <c r="BH304" s="321">
        <f>IF(N304="sníž. přenesená",J304,0)</f>
        <v>0</v>
      </c>
      <c r="BI304" s="321">
        <f>IF(N304="nulová",J304,0)</f>
        <v>0</v>
      </c>
      <c r="BJ304" s="185" t="s">
        <v>260</v>
      </c>
      <c r="BK304" s="321">
        <f>ROUND(I304*H304,2)</f>
        <v>0</v>
      </c>
      <c r="BL304" s="185" t="s">
        <v>269</v>
      </c>
      <c r="BM304" s="320" t="s">
        <v>861</v>
      </c>
    </row>
    <row r="305" spans="2:47" s="200" customFormat="1" ht="15">
      <c r="B305" s="201"/>
      <c r="D305" s="327" t="s">
        <v>1247</v>
      </c>
      <c r="F305" s="460" t="s">
        <v>860</v>
      </c>
      <c r="I305" s="323"/>
      <c r="L305" s="201"/>
      <c r="M305" s="324"/>
      <c r="T305" s="225"/>
      <c r="AT305" s="185" t="s">
        <v>1247</v>
      </c>
      <c r="AU305" s="185" t="s">
        <v>266</v>
      </c>
    </row>
    <row r="306" spans="2:63" s="296" customFormat="1" ht="22.9" customHeight="1">
      <c r="B306" s="297"/>
      <c r="D306" s="298" t="s">
        <v>565</v>
      </c>
      <c r="E306" s="307" t="s">
        <v>274</v>
      </c>
      <c r="F306" s="307" t="s">
        <v>862</v>
      </c>
      <c r="I306" s="300"/>
      <c r="J306" s="308">
        <f>BK306</f>
        <v>0</v>
      </c>
      <c r="L306" s="297"/>
      <c r="M306" s="302"/>
      <c r="P306" s="303">
        <f>SUM(P307:P389)</f>
        <v>0</v>
      </c>
      <c r="R306" s="303">
        <f>SUM(R307:R389)</f>
        <v>79.02372199999999</v>
      </c>
      <c r="T306" s="304">
        <f>SUM(T307:T389)</f>
        <v>0.266</v>
      </c>
      <c r="AR306" s="298" t="s">
        <v>260</v>
      </c>
      <c r="AT306" s="305" t="s">
        <v>565</v>
      </c>
      <c r="AU306" s="305" t="s">
        <v>260</v>
      </c>
      <c r="AY306" s="298" t="s">
        <v>608</v>
      </c>
      <c r="BK306" s="306">
        <f>SUM(BK307:BK389)</f>
        <v>0</v>
      </c>
    </row>
    <row r="307" spans="2:65" s="200" customFormat="1" ht="16.5" customHeight="1">
      <c r="B307" s="201"/>
      <c r="C307" s="309" t="s">
        <v>353</v>
      </c>
      <c r="D307" s="309" t="s">
        <v>610</v>
      </c>
      <c r="E307" s="310" t="s">
        <v>863</v>
      </c>
      <c r="F307" s="311" t="s">
        <v>1285</v>
      </c>
      <c r="G307" s="312" t="s">
        <v>267</v>
      </c>
      <c r="H307" s="313">
        <v>3</v>
      </c>
      <c r="I307" s="314"/>
      <c r="J307" s="315">
        <f>ROUND(I307*H307,2)</f>
        <v>0</v>
      </c>
      <c r="K307" s="311" t="s">
        <v>613</v>
      </c>
      <c r="L307" s="201"/>
      <c r="M307" s="316" t="s">
        <v>180</v>
      </c>
      <c r="N307" s="317" t="s">
        <v>539</v>
      </c>
      <c r="P307" s="318">
        <f>O307*H307</f>
        <v>0</v>
      </c>
      <c r="Q307" s="318">
        <v>0.0007</v>
      </c>
      <c r="R307" s="318">
        <f>Q307*H307</f>
        <v>0.0021</v>
      </c>
      <c r="S307" s="318">
        <v>0</v>
      </c>
      <c r="T307" s="319">
        <f>S307*H307</f>
        <v>0</v>
      </c>
      <c r="AR307" s="320" t="s">
        <v>269</v>
      </c>
      <c r="AT307" s="320" t="s">
        <v>610</v>
      </c>
      <c r="AU307" s="320" t="s">
        <v>266</v>
      </c>
      <c r="AY307" s="185" t="s">
        <v>608</v>
      </c>
      <c r="BE307" s="321">
        <f>IF(N307="základní",J307,0)</f>
        <v>0</v>
      </c>
      <c r="BF307" s="321">
        <f>IF(N307="snížená",J307,0)</f>
        <v>0</v>
      </c>
      <c r="BG307" s="321">
        <f>IF(N307="zákl. přenesená",J307,0)</f>
        <v>0</v>
      </c>
      <c r="BH307" s="321">
        <f>IF(N307="sníž. přenesená",J307,0)</f>
        <v>0</v>
      </c>
      <c r="BI307" s="321">
        <f>IF(N307="nulová",J307,0)</f>
        <v>0</v>
      </c>
      <c r="BJ307" s="185" t="s">
        <v>260</v>
      </c>
      <c r="BK307" s="321">
        <f>ROUND(I307*H307,2)</f>
        <v>0</v>
      </c>
      <c r="BL307" s="185" t="s">
        <v>269</v>
      </c>
      <c r="BM307" s="320" t="s">
        <v>865</v>
      </c>
    </row>
    <row r="308" spans="2:47" s="200" customFormat="1" ht="15">
      <c r="B308" s="201"/>
      <c r="D308" s="327" t="s">
        <v>1247</v>
      </c>
      <c r="F308" s="460" t="s">
        <v>864</v>
      </c>
      <c r="I308" s="323"/>
      <c r="L308" s="201"/>
      <c r="M308" s="324"/>
      <c r="T308" s="225"/>
      <c r="AT308" s="185" t="s">
        <v>1247</v>
      </c>
      <c r="AU308" s="185" t="s">
        <v>266</v>
      </c>
    </row>
    <row r="309" spans="2:47" s="200" customFormat="1" ht="15">
      <c r="B309" s="201"/>
      <c r="D309" s="322" t="s">
        <v>615</v>
      </c>
      <c r="F309" s="397" t="s">
        <v>866</v>
      </c>
      <c r="I309" s="323"/>
      <c r="L309" s="201"/>
      <c r="M309" s="324"/>
      <c r="T309" s="225"/>
      <c r="AT309" s="185" t="s">
        <v>615</v>
      </c>
      <c r="AU309" s="185" t="s">
        <v>266</v>
      </c>
    </row>
    <row r="310" spans="2:51" s="325" customFormat="1" ht="15">
      <c r="B310" s="326"/>
      <c r="D310" s="327" t="s">
        <v>617</v>
      </c>
      <c r="E310" s="328" t="s">
        <v>180</v>
      </c>
      <c r="F310" s="329" t="s">
        <v>867</v>
      </c>
      <c r="H310" s="330">
        <v>1</v>
      </c>
      <c r="I310" s="331"/>
      <c r="L310" s="326"/>
      <c r="M310" s="332"/>
      <c r="T310" s="333"/>
      <c r="AT310" s="328" t="s">
        <v>617</v>
      </c>
      <c r="AU310" s="328" t="s">
        <v>266</v>
      </c>
      <c r="AV310" s="325" t="s">
        <v>266</v>
      </c>
      <c r="AW310" s="325" t="s">
        <v>531</v>
      </c>
      <c r="AX310" s="325" t="s">
        <v>301</v>
      </c>
      <c r="AY310" s="328" t="s">
        <v>608</v>
      </c>
    </row>
    <row r="311" spans="2:51" s="325" customFormat="1" ht="15">
      <c r="B311" s="326"/>
      <c r="D311" s="327" t="s">
        <v>617</v>
      </c>
      <c r="E311" s="328" t="s">
        <v>180</v>
      </c>
      <c r="F311" s="329" t="s">
        <v>868</v>
      </c>
      <c r="H311" s="330">
        <v>1</v>
      </c>
      <c r="I311" s="331"/>
      <c r="L311" s="326"/>
      <c r="M311" s="332"/>
      <c r="T311" s="333"/>
      <c r="AT311" s="328" t="s">
        <v>617</v>
      </c>
      <c r="AU311" s="328" t="s">
        <v>266</v>
      </c>
      <c r="AV311" s="325" t="s">
        <v>266</v>
      </c>
      <c r="AW311" s="325" t="s">
        <v>531</v>
      </c>
      <c r="AX311" s="325" t="s">
        <v>301</v>
      </c>
      <c r="AY311" s="328" t="s">
        <v>608</v>
      </c>
    </row>
    <row r="312" spans="2:51" s="325" customFormat="1" ht="15">
      <c r="B312" s="326"/>
      <c r="D312" s="327" t="s">
        <v>617</v>
      </c>
      <c r="E312" s="328" t="s">
        <v>180</v>
      </c>
      <c r="F312" s="329" t="s">
        <v>869</v>
      </c>
      <c r="H312" s="330">
        <v>1</v>
      </c>
      <c r="I312" s="331"/>
      <c r="L312" s="326"/>
      <c r="M312" s="332"/>
      <c r="T312" s="333"/>
      <c r="AT312" s="328" t="s">
        <v>617</v>
      </c>
      <c r="AU312" s="328" t="s">
        <v>266</v>
      </c>
      <c r="AV312" s="325" t="s">
        <v>266</v>
      </c>
      <c r="AW312" s="325" t="s">
        <v>531</v>
      </c>
      <c r="AX312" s="325" t="s">
        <v>301</v>
      </c>
      <c r="AY312" s="328" t="s">
        <v>608</v>
      </c>
    </row>
    <row r="313" spans="2:51" s="334" customFormat="1" ht="15">
      <c r="B313" s="335"/>
      <c r="D313" s="327" t="s">
        <v>617</v>
      </c>
      <c r="E313" s="336" t="s">
        <v>180</v>
      </c>
      <c r="F313" s="337" t="s">
        <v>645</v>
      </c>
      <c r="H313" s="338">
        <v>3</v>
      </c>
      <c r="I313" s="339"/>
      <c r="L313" s="335"/>
      <c r="M313" s="340"/>
      <c r="T313" s="341"/>
      <c r="AT313" s="336" t="s">
        <v>617</v>
      </c>
      <c r="AU313" s="336" t="s">
        <v>266</v>
      </c>
      <c r="AV313" s="334" t="s">
        <v>269</v>
      </c>
      <c r="AW313" s="334" t="s">
        <v>531</v>
      </c>
      <c r="AX313" s="334" t="s">
        <v>260</v>
      </c>
      <c r="AY313" s="336" t="s">
        <v>608</v>
      </c>
    </row>
    <row r="314" spans="2:65" s="200" customFormat="1" ht="16.5" customHeight="1">
      <c r="B314" s="201"/>
      <c r="C314" s="349" t="s">
        <v>354</v>
      </c>
      <c r="D314" s="349" t="s">
        <v>728</v>
      </c>
      <c r="E314" s="350" t="s">
        <v>870</v>
      </c>
      <c r="F314" s="351" t="s">
        <v>871</v>
      </c>
      <c r="G314" s="352" t="s">
        <v>267</v>
      </c>
      <c r="H314" s="353">
        <v>1</v>
      </c>
      <c r="I314" s="354"/>
      <c r="J314" s="355">
        <f>ROUND(I314*H314,2)</f>
        <v>0</v>
      </c>
      <c r="K314" s="351" t="s">
        <v>613</v>
      </c>
      <c r="L314" s="356"/>
      <c r="M314" s="357" t="s">
        <v>180</v>
      </c>
      <c r="N314" s="358" t="s">
        <v>539</v>
      </c>
      <c r="P314" s="318">
        <f>O314*H314</f>
        <v>0</v>
      </c>
      <c r="Q314" s="318">
        <v>0.0035</v>
      </c>
      <c r="R314" s="318">
        <f>Q314*H314</f>
        <v>0.0035</v>
      </c>
      <c r="S314" s="318">
        <v>0</v>
      </c>
      <c r="T314" s="319">
        <f>S314*H314</f>
        <v>0</v>
      </c>
      <c r="AR314" s="320" t="s">
        <v>273</v>
      </c>
      <c r="AT314" s="320" t="s">
        <v>728</v>
      </c>
      <c r="AU314" s="320" t="s">
        <v>266</v>
      </c>
      <c r="AY314" s="185" t="s">
        <v>608</v>
      </c>
      <c r="BE314" s="321">
        <f>IF(N314="základní",J314,0)</f>
        <v>0</v>
      </c>
      <c r="BF314" s="321">
        <f>IF(N314="snížená",J314,0)</f>
        <v>0</v>
      </c>
      <c r="BG314" s="321">
        <f>IF(N314="zákl. přenesená",J314,0)</f>
        <v>0</v>
      </c>
      <c r="BH314" s="321">
        <f>IF(N314="sníž. přenesená",J314,0)</f>
        <v>0</v>
      </c>
      <c r="BI314" s="321">
        <f>IF(N314="nulová",J314,0)</f>
        <v>0</v>
      </c>
      <c r="BJ314" s="185" t="s">
        <v>260</v>
      </c>
      <c r="BK314" s="321">
        <f>ROUND(I314*H314,2)</f>
        <v>0</v>
      </c>
      <c r="BL314" s="185" t="s">
        <v>269</v>
      </c>
      <c r="BM314" s="320" t="s">
        <v>872</v>
      </c>
    </row>
    <row r="315" spans="2:47" s="200" customFormat="1" ht="15">
      <c r="B315" s="201"/>
      <c r="D315" s="327" t="s">
        <v>1247</v>
      </c>
      <c r="F315" s="460" t="s">
        <v>871</v>
      </c>
      <c r="I315" s="323"/>
      <c r="L315" s="201"/>
      <c r="M315" s="324"/>
      <c r="T315" s="225"/>
      <c r="AT315" s="185" t="s">
        <v>1247</v>
      </c>
      <c r="AU315" s="185" t="s">
        <v>266</v>
      </c>
    </row>
    <row r="316" spans="2:65" s="200" customFormat="1" ht="16.5" customHeight="1">
      <c r="B316" s="201"/>
      <c r="C316" s="349" t="s">
        <v>355</v>
      </c>
      <c r="D316" s="349" t="s">
        <v>728</v>
      </c>
      <c r="E316" s="350" t="s">
        <v>873</v>
      </c>
      <c r="F316" s="351" t="s">
        <v>874</v>
      </c>
      <c r="G316" s="352" t="s">
        <v>267</v>
      </c>
      <c r="H316" s="353">
        <v>1</v>
      </c>
      <c r="I316" s="354"/>
      <c r="J316" s="355">
        <f>ROUND(I316*H316,2)</f>
        <v>0</v>
      </c>
      <c r="K316" s="351" t="s">
        <v>613</v>
      </c>
      <c r="L316" s="356"/>
      <c r="M316" s="357" t="s">
        <v>180</v>
      </c>
      <c r="N316" s="358" t="s">
        <v>539</v>
      </c>
      <c r="P316" s="318">
        <f>O316*H316</f>
        <v>0</v>
      </c>
      <c r="Q316" s="318">
        <v>0.0013</v>
      </c>
      <c r="R316" s="318">
        <f>Q316*H316</f>
        <v>0.0013</v>
      </c>
      <c r="S316" s="318">
        <v>0</v>
      </c>
      <c r="T316" s="319">
        <f>S316*H316</f>
        <v>0</v>
      </c>
      <c r="AR316" s="320" t="s">
        <v>273</v>
      </c>
      <c r="AT316" s="320" t="s">
        <v>728</v>
      </c>
      <c r="AU316" s="320" t="s">
        <v>266</v>
      </c>
      <c r="AY316" s="185" t="s">
        <v>608</v>
      </c>
      <c r="BE316" s="321">
        <f>IF(N316="základní",J316,0)</f>
        <v>0</v>
      </c>
      <c r="BF316" s="321">
        <f>IF(N316="snížená",J316,0)</f>
        <v>0</v>
      </c>
      <c r="BG316" s="321">
        <f>IF(N316="zákl. přenesená",J316,0)</f>
        <v>0</v>
      </c>
      <c r="BH316" s="321">
        <f>IF(N316="sníž. přenesená",J316,0)</f>
        <v>0</v>
      </c>
      <c r="BI316" s="321">
        <f>IF(N316="nulová",J316,0)</f>
        <v>0</v>
      </c>
      <c r="BJ316" s="185" t="s">
        <v>260</v>
      </c>
      <c r="BK316" s="321">
        <f>ROUND(I316*H316,2)</f>
        <v>0</v>
      </c>
      <c r="BL316" s="185" t="s">
        <v>269</v>
      </c>
      <c r="BM316" s="320" t="s">
        <v>875</v>
      </c>
    </row>
    <row r="317" spans="2:47" s="200" customFormat="1" ht="15">
      <c r="B317" s="201"/>
      <c r="D317" s="327" t="s">
        <v>1247</v>
      </c>
      <c r="F317" s="460" t="s">
        <v>874</v>
      </c>
      <c r="I317" s="323"/>
      <c r="L317" s="201"/>
      <c r="M317" s="324"/>
      <c r="T317" s="225"/>
      <c r="AT317" s="185" t="s">
        <v>1247</v>
      </c>
      <c r="AU317" s="185" t="s">
        <v>266</v>
      </c>
    </row>
    <row r="318" spans="2:65" s="200" customFormat="1" ht="16.5" customHeight="1">
      <c r="B318" s="201"/>
      <c r="C318" s="349" t="s">
        <v>356</v>
      </c>
      <c r="D318" s="349" t="s">
        <v>728</v>
      </c>
      <c r="E318" s="350" t="s">
        <v>876</v>
      </c>
      <c r="F318" s="351" t="s">
        <v>877</v>
      </c>
      <c r="G318" s="352" t="s">
        <v>267</v>
      </c>
      <c r="H318" s="353">
        <v>1</v>
      </c>
      <c r="I318" s="354"/>
      <c r="J318" s="355">
        <f>ROUND(I318*H318,2)</f>
        <v>0</v>
      </c>
      <c r="K318" s="351" t="s">
        <v>613</v>
      </c>
      <c r="L318" s="356"/>
      <c r="M318" s="357" t="s">
        <v>180</v>
      </c>
      <c r="N318" s="358" t="s">
        <v>539</v>
      </c>
      <c r="P318" s="318">
        <f>O318*H318</f>
        <v>0</v>
      </c>
      <c r="Q318" s="318">
        <v>0.0017</v>
      </c>
      <c r="R318" s="318">
        <f>Q318*H318</f>
        <v>0.0017</v>
      </c>
      <c r="S318" s="318">
        <v>0</v>
      </c>
      <c r="T318" s="319">
        <f>S318*H318</f>
        <v>0</v>
      </c>
      <c r="AR318" s="320" t="s">
        <v>273</v>
      </c>
      <c r="AT318" s="320" t="s">
        <v>728</v>
      </c>
      <c r="AU318" s="320" t="s">
        <v>266</v>
      </c>
      <c r="AY318" s="185" t="s">
        <v>608</v>
      </c>
      <c r="BE318" s="321">
        <f>IF(N318="základní",J318,0)</f>
        <v>0</v>
      </c>
      <c r="BF318" s="321">
        <f>IF(N318="snížená",J318,0)</f>
        <v>0</v>
      </c>
      <c r="BG318" s="321">
        <f>IF(N318="zákl. přenesená",J318,0)</f>
        <v>0</v>
      </c>
      <c r="BH318" s="321">
        <f>IF(N318="sníž. přenesená",J318,0)</f>
        <v>0</v>
      </c>
      <c r="BI318" s="321">
        <f>IF(N318="nulová",J318,0)</f>
        <v>0</v>
      </c>
      <c r="BJ318" s="185" t="s">
        <v>260</v>
      </c>
      <c r="BK318" s="321">
        <f>ROUND(I318*H318,2)</f>
        <v>0</v>
      </c>
      <c r="BL318" s="185" t="s">
        <v>269</v>
      </c>
      <c r="BM318" s="320" t="s">
        <v>878</v>
      </c>
    </row>
    <row r="319" spans="2:47" s="200" customFormat="1" ht="15">
      <c r="B319" s="201"/>
      <c r="D319" s="327" t="s">
        <v>1247</v>
      </c>
      <c r="F319" s="460" t="s">
        <v>877</v>
      </c>
      <c r="I319" s="323"/>
      <c r="L319" s="201"/>
      <c r="M319" s="324"/>
      <c r="T319" s="225"/>
      <c r="AT319" s="185" t="s">
        <v>1247</v>
      </c>
      <c r="AU319" s="185" t="s">
        <v>266</v>
      </c>
    </row>
    <row r="320" spans="2:65" s="200" customFormat="1" ht="16.5" customHeight="1">
      <c r="B320" s="201"/>
      <c r="C320" s="309" t="s">
        <v>357</v>
      </c>
      <c r="D320" s="309" t="s">
        <v>610</v>
      </c>
      <c r="E320" s="310" t="s">
        <v>879</v>
      </c>
      <c r="F320" s="311" t="s">
        <v>1286</v>
      </c>
      <c r="G320" s="312" t="s">
        <v>267</v>
      </c>
      <c r="H320" s="313">
        <v>2</v>
      </c>
      <c r="I320" s="314"/>
      <c r="J320" s="315">
        <f>ROUND(I320*H320,2)</f>
        <v>0</v>
      </c>
      <c r="K320" s="311" t="s">
        <v>613</v>
      </c>
      <c r="L320" s="201"/>
      <c r="M320" s="316" t="s">
        <v>180</v>
      </c>
      <c r="N320" s="317" t="s">
        <v>539</v>
      </c>
      <c r="P320" s="318">
        <f>O320*H320</f>
        <v>0</v>
      </c>
      <c r="Q320" s="318">
        <v>0.00105</v>
      </c>
      <c r="R320" s="318">
        <f>Q320*H320</f>
        <v>0.0021</v>
      </c>
      <c r="S320" s="318">
        <v>0</v>
      </c>
      <c r="T320" s="319">
        <f>S320*H320</f>
        <v>0</v>
      </c>
      <c r="AR320" s="320" t="s">
        <v>269</v>
      </c>
      <c r="AT320" s="320" t="s">
        <v>610</v>
      </c>
      <c r="AU320" s="320" t="s">
        <v>266</v>
      </c>
      <c r="AY320" s="185" t="s">
        <v>608</v>
      </c>
      <c r="BE320" s="321">
        <f>IF(N320="základní",J320,0)</f>
        <v>0</v>
      </c>
      <c r="BF320" s="321">
        <f>IF(N320="snížená",J320,0)</f>
        <v>0</v>
      </c>
      <c r="BG320" s="321">
        <f>IF(N320="zákl. přenesená",J320,0)</f>
        <v>0</v>
      </c>
      <c r="BH320" s="321">
        <f>IF(N320="sníž. přenesená",J320,0)</f>
        <v>0</v>
      </c>
      <c r="BI320" s="321">
        <f>IF(N320="nulová",J320,0)</f>
        <v>0</v>
      </c>
      <c r="BJ320" s="185" t="s">
        <v>260</v>
      </c>
      <c r="BK320" s="321">
        <f>ROUND(I320*H320,2)</f>
        <v>0</v>
      </c>
      <c r="BL320" s="185" t="s">
        <v>269</v>
      </c>
      <c r="BM320" s="320" t="s">
        <v>881</v>
      </c>
    </row>
    <row r="321" spans="2:47" s="200" customFormat="1" ht="15">
      <c r="B321" s="201"/>
      <c r="D321" s="327" t="s">
        <v>1247</v>
      </c>
      <c r="F321" s="460" t="s">
        <v>880</v>
      </c>
      <c r="I321" s="323"/>
      <c r="L321" s="201"/>
      <c r="M321" s="324"/>
      <c r="T321" s="225"/>
      <c r="AT321" s="185" t="s">
        <v>1247</v>
      </c>
      <c r="AU321" s="185" t="s">
        <v>266</v>
      </c>
    </row>
    <row r="322" spans="2:47" s="200" customFormat="1" ht="15">
      <c r="B322" s="201"/>
      <c r="D322" s="322" t="s">
        <v>615</v>
      </c>
      <c r="F322" s="397" t="s">
        <v>882</v>
      </c>
      <c r="I322" s="323"/>
      <c r="L322" s="201"/>
      <c r="M322" s="324"/>
      <c r="T322" s="225"/>
      <c r="AT322" s="185" t="s">
        <v>615</v>
      </c>
      <c r="AU322" s="185" t="s">
        <v>266</v>
      </c>
    </row>
    <row r="323" spans="2:51" s="325" customFormat="1" ht="15">
      <c r="B323" s="326"/>
      <c r="D323" s="327" t="s">
        <v>617</v>
      </c>
      <c r="E323" s="328" t="s">
        <v>180</v>
      </c>
      <c r="F323" s="329" t="s">
        <v>883</v>
      </c>
      <c r="H323" s="330">
        <v>1</v>
      </c>
      <c r="I323" s="331"/>
      <c r="L323" s="326"/>
      <c r="M323" s="332"/>
      <c r="T323" s="333"/>
      <c r="AT323" s="328" t="s">
        <v>617</v>
      </c>
      <c r="AU323" s="328" t="s">
        <v>266</v>
      </c>
      <c r="AV323" s="325" t="s">
        <v>266</v>
      </c>
      <c r="AW323" s="325" t="s">
        <v>531</v>
      </c>
      <c r="AX323" s="325" t="s">
        <v>301</v>
      </c>
      <c r="AY323" s="328" t="s">
        <v>608</v>
      </c>
    </row>
    <row r="324" spans="2:51" s="325" customFormat="1" ht="15">
      <c r="B324" s="326"/>
      <c r="D324" s="327" t="s">
        <v>617</v>
      </c>
      <c r="E324" s="328" t="s">
        <v>180</v>
      </c>
      <c r="F324" s="329" t="s">
        <v>884</v>
      </c>
      <c r="H324" s="330">
        <v>1</v>
      </c>
      <c r="I324" s="331"/>
      <c r="L324" s="326"/>
      <c r="M324" s="332"/>
      <c r="T324" s="333"/>
      <c r="AT324" s="328" t="s">
        <v>617</v>
      </c>
      <c r="AU324" s="328" t="s">
        <v>266</v>
      </c>
      <c r="AV324" s="325" t="s">
        <v>266</v>
      </c>
      <c r="AW324" s="325" t="s">
        <v>531</v>
      </c>
      <c r="AX324" s="325" t="s">
        <v>301</v>
      </c>
      <c r="AY324" s="328" t="s">
        <v>608</v>
      </c>
    </row>
    <row r="325" spans="2:51" s="334" customFormat="1" ht="15">
      <c r="B325" s="335"/>
      <c r="D325" s="327" t="s">
        <v>617</v>
      </c>
      <c r="E325" s="336" t="s">
        <v>180</v>
      </c>
      <c r="F325" s="337" t="s">
        <v>645</v>
      </c>
      <c r="H325" s="338">
        <v>2</v>
      </c>
      <c r="I325" s="339"/>
      <c r="L325" s="335"/>
      <c r="M325" s="340"/>
      <c r="T325" s="341"/>
      <c r="AT325" s="336" t="s">
        <v>617</v>
      </c>
      <c r="AU325" s="336" t="s">
        <v>266</v>
      </c>
      <c r="AV325" s="334" t="s">
        <v>269</v>
      </c>
      <c r="AW325" s="334" t="s">
        <v>531</v>
      </c>
      <c r="AX325" s="334" t="s">
        <v>260</v>
      </c>
      <c r="AY325" s="336" t="s">
        <v>608</v>
      </c>
    </row>
    <row r="326" spans="2:65" s="200" customFormat="1" ht="16.5" customHeight="1">
      <c r="B326" s="201"/>
      <c r="C326" s="349" t="s">
        <v>358</v>
      </c>
      <c r="D326" s="349" t="s">
        <v>728</v>
      </c>
      <c r="E326" s="350" t="s">
        <v>885</v>
      </c>
      <c r="F326" s="351" t="s">
        <v>886</v>
      </c>
      <c r="G326" s="352" t="s">
        <v>267</v>
      </c>
      <c r="H326" s="353">
        <v>2</v>
      </c>
      <c r="I326" s="354"/>
      <c r="J326" s="355">
        <f>ROUND(I326*H326,2)</f>
        <v>0</v>
      </c>
      <c r="K326" s="351" t="s">
        <v>613</v>
      </c>
      <c r="L326" s="356"/>
      <c r="M326" s="357" t="s">
        <v>180</v>
      </c>
      <c r="N326" s="358" t="s">
        <v>539</v>
      </c>
      <c r="P326" s="318">
        <f>O326*H326</f>
        <v>0</v>
      </c>
      <c r="Q326" s="318">
        <v>0.0155</v>
      </c>
      <c r="R326" s="318">
        <f>Q326*H326</f>
        <v>0.031</v>
      </c>
      <c r="S326" s="318">
        <v>0</v>
      </c>
      <c r="T326" s="319">
        <f>S326*H326</f>
        <v>0</v>
      </c>
      <c r="AR326" s="320" t="s">
        <v>273</v>
      </c>
      <c r="AT326" s="320" t="s">
        <v>728</v>
      </c>
      <c r="AU326" s="320" t="s">
        <v>266</v>
      </c>
      <c r="AY326" s="185" t="s">
        <v>608</v>
      </c>
      <c r="BE326" s="321">
        <f>IF(N326="základní",J326,0)</f>
        <v>0</v>
      </c>
      <c r="BF326" s="321">
        <f>IF(N326="snížená",J326,0)</f>
        <v>0</v>
      </c>
      <c r="BG326" s="321">
        <f>IF(N326="zákl. přenesená",J326,0)</f>
        <v>0</v>
      </c>
      <c r="BH326" s="321">
        <f>IF(N326="sníž. přenesená",J326,0)</f>
        <v>0</v>
      </c>
      <c r="BI326" s="321">
        <f>IF(N326="nulová",J326,0)</f>
        <v>0</v>
      </c>
      <c r="BJ326" s="185" t="s">
        <v>260</v>
      </c>
      <c r="BK326" s="321">
        <f>ROUND(I326*H326,2)</f>
        <v>0</v>
      </c>
      <c r="BL326" s="185" t="s">
        <v>269</v>
      </c>
      <c r="BM326" s="320" t="s">
        <v>887</v>
      </c>
    </row>
    <row r="327" spans="2:47" s="200" customFormat="1" ht="15">
      <c r="B327" s="201"/>
      <c r="D327" s="327" t="s">
        <v>1247</v>
      </c>
      <c r="F327" s="460" t="s">
        <v>886</v>
      </c>
      <c r="I327" s="323"/>
      <c r="L327" s="201"/>
      <c r="M327" s="324"/>
      <c r="T327" s="225"/>
      <c r="AT327" s="185" t="s">
        <v>1247</v>
      </c>
      <c r="AU327" s="185" t="s">
        <v>266</v>
      </c>
    </row>
    <row r="328" spans="2:65" s="200" customFormat="1" ht="16.5" customHeight="1">
      <c r="B328" s="201"/>
      <c r="C328" s="309" t="s">
        <v>359</v>
      </c>
      <c r="D328" s="309" t="s">
        <v>610</v>
      </c>
      <c r="E328" s="310" t="s">
        <v>888</v>
      </c>
      <c r="F328" s="311" t="s">
        <v>1287</v>
      </c>
      <c r="G328" s="312" t="s">
        <v>267</v>
      </c>
      <c r="H328" s="313">
        <v>4</v>
      </c>
      <c r="I328" s="314"/>
      <c r="J328" s="315">
        <f>ROUND(I328*H328,2)</f>
        <v>0</v>
      </c>
      <c r="K328" s="311" t="s">
        <v>613</v>
      </c>
      <c r="L328" s="201"/>
      <c r="M328" s="316" t="s">
        <v>180</v>
      </c>
      <c r="N328" s="317" t="s">
        <v>539</v>
      </c>
      <c r="P328" s="318">
        <f>O328*H328</f>
        <v>0</v>
      </c>
      <c r="Q328" s="318">
        <v>0.11241</v>
      </c>
      <c r="R328" s="318">
        <f>Q328*H328</f>
        <v>0.44964</v>
      </c>
      <c r="S328" s="318">
        <v>0</v>
      </c>
      <c r="T328" s="319">
        <f>S328*H328</f>
        <v>0</v>
      </c>
      <c r="AR328" s="320" t="s">
        <v>269</v>
      </c>
      <c r="AT328" s="320" t="s">
        <v>610</v>
      </c>
      <c r="AU328" s="320" t="s">
        <v>266</v>
      </c>
      <c r="AY328" s="185" t="s">
        <v>608</v>
      </c>
      <c r="BE328" s="321">
        <f>IF(N328="základní",J328,0)</f>
        <v>0</v>
      </c>
      <c r="BF328" s="321">
        <f>IF(N328="snížená",J328,0)</f>
        <v>0</v>
      </c>
      <c r="BG328" s="321">
        <f>IF(N328="zákl. přenesená",J328,0)</f>
        <v>0</v>
      </c>
      <c r="BH328" s="321">
        <f>IF(N328="sníž. přenesená",J328,0)</f>
        <v>0</v>
      </c>
      <c r="BI328" s="321">
        <f>IF(N328="nulová",J328,0)</f>
        <v>0</v>
      </c>
      <c r="BJ328" s="185" t="s">
        <v>260</v>
      </c>
      <c r="BK328" s="321">
        <f>ROUND(I328*H328,2)</f>
        <v>0</v>
      </c>
      <c r="BL328" s="185" t="s">
        <v>269</v>
      </c>
      <c r="BM328" s="320" t="s">
        <v>890</v>
      </c>
    </row>
    <row r="329" spans="2:47" s="200" customFormat="1" ht="15">
      <c r="B329" s="201"/>
      <c r="D329" s="327" t="s">
        <v>1247</v>
      </c>
      <c r="F329" s="460" t="s">
        <v>889</v>
      </c>
      <c r="I329" s="323"/>
      <c r="L329" s="201"/>
      <c r="M329" s="324"/>
      <c r="T329" s="225"/>
      <c r="AT329" s="185" t="s">
        <v>1247</v>
      </c>
      <c r="AU329" s="185" t="s">
        <v>266</v>
      </c>
    </row>
    <row r="330" spans="2:47" s="200" customFormat="1" ht="15">
      <c r="B330" s="201"/>
      <c r="D330" s="322" t="s">
        <v>615</v>
      </c>
      <c r="F330" s="397" t="s">
        <v>891</v>
      </c>
      <c r="I330" s="323"/>
      <c r="L330" s="201"/>
      <c r="M330" s="324"/>
      <c r="T330" s="225"/>
      <c r="AT330" s="185" t="s">
        <v>615</v>
      </c>
      <c r="AU330" s="185" t="s">
        <v>266</v>
      </c>
    </row>
    <row r="331" spans="2:51" s="325" customFormat="1" ht="15">
      <c r="B331" s="326"/>
      <c r="D331" s="327" t="s">
        <v>617</v>
      </c>
      <c r="E331" s="328" t="s">
        <v>180</v>
      </c>
      <c r="F331" s="329" t="s">
        <v>892</v>
      </c>
      <c r="H331" s="330">
        <v>4</v>
      </c>
      <c r="I331" s="331"/>
      <c r="L331" s="326"/>
      <c r="M331" s="332"/>
      <c r="T331" s="333"/>
      <c r="AT331" s="328" t="s">
        <v>617</v>
      </c>
      <c r="AU331" s="328" t="s">
        <v>266</v>
      </c>
      <c r="AV331" s="325" t="s">
        <v>266</v>
      </c>
      <c r="AW331" s="325" t="s">
        <v>531</v>
      </c>
      <c r="AX331" s="325" t="s">
        <v>260</v>
      </c>
      <c r="AY331" s="328" t="s">
        <v>608</v>
      </c>
    </row>
    <row r="332" spans="2:65" s="200" customFormat="1" ht="16.5" customHeight="1">
      <c r="B332" s="201"/>
      <c r="C332" s="349" t="s">
        <v>361</v>
      </c>
      <c r="D332" s="349" t="s">
        <v>728</v>
      </c>
      <c r="E332" s="350" t="s">
        <v>893</v>
      </c>
      <c r="F332" s="351" t="s">
        <v>894</v>
      </c>
      <c r="G332" s="352" t="s">
        <v>267</v>
      </c>
      <c r="H332" s="353">
        <v>4</v>
      </c>
      <c r="I332" s="354"/>
      <c r="J332" s="355">
        <f>ROUND(I332*H332,2)</f>
        <v>0</v>
      </c>
      <c r="K332" s="351" t="s">
        <v>613</v>
      </c>
      <c r="L332" s="356"/>
      <c r="M332" s="357" t="s">
        <v>180</v>
      </c>
      <c r="N332" s="358" t="s">
        <v>539</v>
      </c>
      <c r="P332" s="318">
        <f>O332*H332</f>
        <v>0</v>
      </c>
      <c r="Q332" s="318">
        <v>0.0061</v>
      </c>
      <c r="R332" s="318">
        <f>Q332*H332</f>
        <v>0.0244</v>
      </c>
      <c r="S332" s="318">
        <v>0</v>
      </c>
      <c r="T332" s="319">
        <f>S332*H332</f>
        <v>0</v>
      </c>
      <c r="AR332" s="320" t="s">
        <v>273</v>
      </c>
      <c r="AT332" s="320" t="s">
        <v>728</v>
      </c>
      <c r="AU332" s="320" t="s">
        <v>266</v>
      </c>
      <c r="AY332" s="185" t="s">
        <v>608</v>
      </c>
      <c r="BE332" s="321">
        <f>IF(N332="základní",J332,0)</f>
        <v>0</v>
      </c>
      <c r="BF332" s="321">
        <f>IF(N332="snížená",J332,0)</f>
        <v>0</v>
      </c>
      <c r="BG332" s="321">
        <f>IF(N332="zákl. přenesená",J332,0)</f>
        <v>0</v>
      </c>
      <c r="BH332" s="321">
        <f>IF(N332="sníž. přenesená",J332,0)</f>
        <v>0</v>
      </c>
      <c r="BI332" s="321">
        <f>IF(N332="nulová",J332,0)</f>
        <v>0</v>
      </c>
      <c r="BJ332" s="185" t="s">
        <v>260</v>
      </c>
      <c r="BK332" s="321">
        <f>ROUND(I332*H332,2)</f>
        <v>0</v>
      </c>
      <c r="BL332" s="185" t="s">
        <v>269</v>
      </c>
      <c r="BM332" s="320" t="s">
        <v>895</v>
      </c>
    </row>
    <row r="333" spans="2:47" s="200" customFormat="1" ht="15">
      <c r="B333" s="201"/>
      <c r="D333" s="327" t="s">
        <v>1247</v>
      </c>
      <c r="F333" s="460" t="s">
        <v>894</v>
      </c>
      <c r="I333" s="323"/>
      <c r="L333" s="201"/>
      <c r="M333" s="324"/>
      <c r="T333" s="225"/>
      <c r="AT333" s="185" t="s">
        <v>1247</v>
      </c>
      <c r="AU333" s="185" t="s">
        <v>266</v>
      </c>
    </row>
    <row r="334" spans="2:65" s="200" customFormat="1" ht="16.5" customHeight="1">
      <c r="B334" s="201"/>
      <c r="C334" s="349" t="s">
        <v>362</v>
      </c>
      <c r="D334" s="349" t="s">
        <v>728</v>
      </c>
      <c r="E334" s="350" t="s">
        <v>896</v>
      </c>
      <c r="F334" s="351" t="s">
        <v>897</v>
      </c>
      <c r="G334" s="352" t="s">
        <v>267</v>
      </c>
      <c r="H334" s="353">
        <v>4</v>
      </c>
      <c r="I334" s="354"/>
      <c r="J334" s="355">
        <f>ROUND(I334*H334,2)</f>
        <v>0</v>
      </c>
      <c r="K334" s="351" t="s">
        <v>613</v>
      </c>
      <c r="L334" s="356"/>
      <c r="M334" s="357" t="s">
        <v>180</v>
      </c>
      <c r="N334" s="358" t="s">
        <v>539</v>
      </c>
      <c r="P334" s="318">
        <f>O334*H334</f>
        <v>0</v>
      </c>
      <c r="Q334" s="318">
        <v>0.003</v>
      </c>
      <c r="R334" s="318">
        <f>Q334*H334</f>
        <v>0.012</v>
      </c>
      <c r="S334" s="318">
        <v>0</v>
      </c>
      <c r="T334" s="319">
        <f>S334*H334</f>
        <v>0</v>
      </c>
      <c r="AR334" s="320" t="s">
        <v>273</v>
      </c>
      <c r="AT334" s="320" t="s">
        <v>728</v>
      </c>
      <c r="AU334" s="320" t="s">
        <v>266</v>
      </c>
      <c r="AY334" s="185" t="s">
        <v>608</v>
      </c>
      <c r="BE334" s="321">
        <f>IF(N334="základní",J334,0)</f>
        <v>0</v>
      </c>
      <c r="BF334" s="321">
        <f>IF(N334="snížená",J334,0)</f>
        <v>0</v>
      </c>
      <c r="BG334" s="321">
        <f>IF(N334="zákl. přenesená",J334,0)</f>
        <v>0</v>
      </c>
      <c r="BH334" s="321">
        <f>IF(N334="sníž. přenesená",J334,0)</f>
        <v>0</v>
      </c>
      <c r="BI334" s="321">
        <f>IF(N334="nulová",J334,0)</f>
        <v>0</v>
      </c>
      <c r="BJ334" s="185" t="s">
        <v>260</v>
      </c>
      <c r="BK334" s="321">
        <f>ROUND(I334*H334,2)</f>
        <v>0</v>
      </c>
      <c r="BL334" s="185" t="s">
        <v>269</v>
      </c>
      <c r="BM334" s="320" t="s">
        <v>898</v>
      </c>
    </row>
    <row r="335" spans="2:47" s="200" customFormat="1" ht="15">
      <c r="B335" s="201"/>
      <c r="D335" s="327" t="s">
        <v>1247</v>
      </c>
      <c r="F335" s="460" t="s">
        <v>897</v>
      </c>
      <c r="I335" s="323"/>
      <c r="L335" s="201"/>
      <c r="M335" s="324"/>
      <c r="T335" s="225"/>
      <c r="AT335" s="185" t="s">
        <v>1247</v>
      </c>
      <c r="AU335" s="185" t="s">
        <v>266</v>
      </c>
    </row>
    <row r="336" spans="2:65" s="200" customFormat="1" ht="16.5" customHeight="1">
      <c r="B336" s="201"/>
      <c r="C336" s="349" t="s">
        <v>364</v>
      </c>
      <c r="D336" s="349" t="s">
        <v>728</v>
      </c>
      <c r="E336" s="350" t="s">
        <v>899</v>
      </c>
      <c r="F336" s="351" t="s">
        <v>900</v>
      </c>
      <c r="G336" s="352" t="s">
        <v>267</v>
      </c>
      <c r="H336" s="353">
        <v>4</v>
      </c>
      <c r="I336" s="354"/>
      <c r="J336" s="355">
        <f>ROUND(I336*H336,2)</f>
        <v>0</v>
      </c>
      <c r="K336" s="351" t="s">
        <v>613</v>
      </c>
      <c r="L336" s="356"/>
      <c r="M336" s="357" t="s">
        <v>180</v>
      </c>
      <c r="N336" s="358" t="s">
        <v>539</v>
      </c>
      <c r="P336" s="318">
        <f>O336*H336</f>
        <v>0</v>
      </c>
      <c r="Q336" s="318">
        <v>0.00035</v>
      </c>
      <c r="R336" s="318">
        <f>Q336*H336</f>
        <v>0.0014</v>
      </c>
      <c r="S336" s="318">
        <v>0</v>
      </c>
      <c r="T336" s="319">
        <f>S336*H336</f>
        <v>0</v>
      </c>
      <c r="AR336" s="320" t="s">
        <v>273</v>
      </c>
      <c r="AT336" s="320" t="s">
        <v>728</v>
      </c>
      <c r="AU336" s="320" t="s">
        <v>266</v>
      </c>
      <c r="AY336" s="185" t="s">
        <v>608</v>
      </c>
      <c r="BE336" s="321">
        <f>IF(N336="základní",J336,0)</f>
        <v>0</v>
      </c>
      <c r="BF336" s="321">
        <f>IF(N336="snížená",J336,0)</f>
        <v>0</v>
      </c>
      <c r="BG336" s="321">
        <f>IF(N336="zákl. přenesená",J336,0)</f>
        <v>0</v>
      </c>
      <c r="BH336" s="321">
        <f>IF(N336="sníž. přenesená",J336,0)</f>
        <v>0</v>
      </c>
      <c r="BI336" s="321">
        <f>IF(N336="nulová",J336,0)</f>
        <v>0</v>
      </c>
      <c r="BJ336" s="185" t="s">
        <v>260</v>
      </c>
      <c r="BK336" s="321">
        <f>ROUND(I336*H336,2)</f>
        <v>0</v>
      </c>
      <c r="BL336" s="185" t="s">
        <v>269</v>
      </c>
      <c r="BM336" s="320" t="s">
        <v>901</v>
      </c>
    </row>
    <row r="337" spans="2:47" s="200" customFormat="1" ht="15">
      <c r="B337" s="201"/>
      <c r="D337" s="327" t="s">
        <v>1247</v>
      </c>
      <c r="F337" s="460" t="s">
        <v>900</v>
      </c>
      <c r="I337" s="323"/>
      <c r="L337" s="201"/>
      <c r="M337" s="324"/>
      <c r="T337" s="225"/>
      <c r="AT337" s="185" t="s">
        <v>1247</v>
      </c>
      <c r="AU337" s="185" t="s">
        <v>266</v>
      </c>
    </row>
    <row r="338" spans="2:65" s="200" customFormat="1" ht="16.5" customHeight="1">
      <c r="B338" s="201"/>
      <c r="C338" s="349" t="s">
        <v>365</v>
      </c>
      <c r="D338" s="349" t="s">
        <v>728</v>
      </c>
      <c r="E338" s="350" t="s">
        <v>902</v>
      </c>
      <c r="F338" s="351" t="s">
        <v>903</v>
      </c>
      <c r="G338" s="352" t="s">
        <v>267</v>
      </c>
      <c r="H338" s="353">
        <v>4</v>
      </c>
      <c r="I338" s="354"/>
      <c r="J338" s="355">
        <f>ROUND(I338*H338,2)</f>
        <v>0</v>
      </c>
      <c r="K338" s="351" t="s">
        <v>613</v>
      </c>
      <c r="L338" s="356"/>
      <c r="M338" s="357" t="s">
        <v>180</v>
      </c>
      <c r="N338" s="358" t="s">
        <v>539</v>
      </c>
      <c r="P338" s="318">
        <f>O338*H338</f>
        <v>0</v>
      </c>
      <c r="Q338" s="318">
        <v>0.0001</v>
      </c>
      <c r="R338" s="318">
        <f>Q338*H338</f>
        <v>0.0004</v>
      </c>
      <c r="S338" s="318">
        <v>0</v>
      </c>
      <c r="T338" s="319">
        <f>S338*H338</f>
        <v>0</v>
      </c>
      <c r="AR338" s="320" t="s">
        <v>273</v>
      </c>
      <c r="AT338" s="320" t="s">
        <v>728</v>
      </c>
      <c r="AU338" s="320" t="s">
        <v>266</v>
      </c>
      <c r="AY338" s="185" t="s">
        <v>608</v>
      </c>
      <c r="BE338" s="321">
        <f>IF(N338="základní",J338,0)</f>
        <v>0</v>
      </c>
      <c r="BF338" s="321">
        <f>IF(N338="snížená",J338,0)</f>
        <v>0</v>
      </c>
      <c r="BG338" s="321">
        <f>IF(N338="zákl. přenesená",J338,0)</f>
        <v>0</v>
      </c>
      <c r="BH338" s="321">
        <f>IF(N338="sníž. přenesená",J338,0)</f>
        <v>0</v>
      </c>
      <c r="BI338" s="321">
        <f>IF(N338="nulová",J338,0)</f>
        <v>0</v>
      </c>
      <c r="BJ338" s="185" t="s">
        <v>260</v>
      </c>
      <c r="BK338" s="321">
        <f>ROUND(I338*H338,2)</f>
        <v>0</v>
      </c>
      <c r="BL338" s="185" t="s">
        <v>269</v>
      </c>
      <c r="BM338" s="320" t="s">
        <v>904</v>
      </c>
    </row>
    <row r="339" spans="2:47" s="200" customFormat="1" ht="15">
      <c r="B339" s="201"/>
      <c r="D339" s="327" t="s">
        <v>1247</v>
      </c>
      <c r="F339" s="460" t="s">
        <v>903</v>
      </c>
      <c r="I339" s="323"/>
      <c r="L339" s="201"/>
      <c r="M339" s="324"/>
      <c r="T339" s="225"/>
      <c r="AT339" s="185" t="s">
        <v>1247</v>
      </c>
      <c r="AU339" s="185" t="s">
        <v>266</v>
      </c>
    </row>
    <row r="340" spans="2:65" s="200" customFormat="1" ht="16.5" customHeight="1">
      <c r="B340" s="201"/>
      <c r="C340" s="309" t="s">
        <v>366</v>
      </c>
      <c r="D340" s="309" t="s">
        <v>610</v>
      </c>
      <c r="E340" s="310" t="s">
        <v>905</v>
      </c>
      <c r="F340" s="311" t="s">
        <v>1288</v>
      </c>
      <c r="G340" s="312" t="s">
        <v>35</v>
      </c>
      <c r="H340" s="313">
        <v>63</v>
      </c>
      <c r="I340" s="314"/>
      <c r="J340" s="315">
        <f>ROUND(I340*H340,2)</f>
        <v>0</v>
      </c>
      <c r="K340" s="311" t="s">
        <v>613</v>
      </c>
      <c r="L340" s="201"/>
      <c r="M340" s="316" t="s">
        <v>180</v>
      </c>
      <c r="N340" s="317" t="s">
        <v>539</v>
      </c>
      <c r="P340" s="318">
        <f>O340*H340</f>
        <v>0</v>
      </c>
      <c r="Q340" s="318">
        <v>0.00033</v>
      </c>
      <c r="R340" s="318">
        <f>Q340*H340</f>
        <v>0.02079</v>
      </c>
      <c r="S340" s="318">
        <v>0</v>
      </c>
      <c r="T340" s="319">
        <f>S340*H340</f>
        <v>0</v>
      </c>
      <c r="AR340" s="320" t="s">
        <v>269</v>
      </c>
      <c r="AT340" s="320" t="s">
        <v>610</v>
      </c>
      <c r="AU340" s="320" t="s">
        <v>266</v>
      </c>
      <c r="AY340" s="185" t="s">
        <v>608</v>
      </c>
      <c r="BE340" s="321">
        <f>IF(N340="základní",J340,0)</f>
        <v>0</v>
      </c>
      <c r="BF340" s="321">
        <f>IF(N340="snížená",J340,0)</f>
        <v>0</v>
      </c>
      <c r="BG340" s="321">
        <f>IF(N340="zákl. přenesená",J340,0)</f>
        <v>0</v>
      </c>
      <c r="BH340" s="321">
        <f>IF(N340="sníž. přenesená",J340,0)</f>
        <v>0</v>
      </c>
      <c r="BI340" s="321">
        <f>IF(N340="nulová",J340,0)</f>
        <v>0</v>
      </c>
      <c r="BJ340" s="185" t="s">
        <v>260</v>
      </c>
      <c r="BK340" s="321">
        <f>ROUND(I340*H340,2)</f>
        <v>0</v>
      </c>
      <c r="BL340" s="185" t="s">
        <v>269</v>
      </c>
      <c r="BM340" s="320" t="s">
        <v>907</v>
      </c>
    </row>
    <row r="341" spans="2:47" s="200" customFormat="1" ht="15">
      <c r="B341" s="201"/>
      <c r="D341" s="327" t="s">
        <v>1247</v>
      </c>
      <c r="F341" s="460" t="s">
        <v>906</v>
      </c>
      <c r="I341" s="323"/>
      <c r="L341" s="201"/>
      <c r="M341" s="324"/>
      <c r="T341" s="225"/>
      <c r="AT341" s="185" t="s">
        <v>1247</v>
      </c>
      <c r="AU341" s="185" t="s">
        <v>266</v>
      </c>
    </row>
    <row r="342" spans="2:47" s="200" customFormat="1" ht="15">
      <c r="B342" s="201"/>
      <c r="D342" s="322" t="s">
        <v>615</v>
      </c>
      <c r="F342" s="397" t="s">
        <v>908</v>
      </c>
      <c r="I342" s="323"/>
      <c r="L342" s="201"/>
      <c r="M342" s="324"/>
      <c r="T342" s="225"/>
      <c r="AT342" s="185" t="s">
        <v>615</v>
      </c>
      <c r="AU342" s="185" t="s">
        <v>266</v>
      </c>
    </row>
    <row r="343" spans="2:51" s="325" customFormat="1" ht="15">
      <c r="B343" s="326"/>
      <c r="D343" s="327" t="s">
        <v>617</v>
      </c>
      <c r="E343" s="328" t="s">
        <v>180</v>
      </c>
      <c r="F343" s="329" t="s">
        <v>909</v>
      </c>
      <c r="H343" s="330">
        <v>63</v>
      </c>
      <c r="I343" s="331"/>
      <c r="L343" s="326"/>
      <c r="M343" s="332"/>
      <c r="T343" s="333"/>
      <c r="AT343" s="328" t="s">
        <v>617</v>
      </c>
      <c r="AU343" s="328" t="s">
        <v>266</v>
      </c>
      <c r="AV343" s="325" t="s">
        <v>266</v>
      </c>
      <c r="AW343" s="325" t="s">
        <v>531</v>
      </c>
      <c r="AX343" s="325" t="s">
        <v>260</v>
      </c>
      <c r="AY343" s="328" t="s">
        <v>608</v>
      </c>
    </row>
    <row r="344" spans="2:65" s="200" customFormat="1" ht="16.5" customHeight="1">
      <c r="B344" s="201"/>
      <c r="C344" s="309" t="s">
        <v>367</v>
      </c>
      <c r="D344" s="309" t="s">
        <v>610</v>
      </c>
      <c r="E344" s="310" t="s">
        <v>910</v>
      </c>
      <c r="F344" s="311" t="s">
        <v>1289</v>
      </c>
      <c r="G344" s="312" t="s">
        <v>261</v>
      </c>
      <c r="H344" s="313">
        <v>10</v>
      </c>
      <c r="I344" s="314"/>
      <c r="J344" s="315">
        <f>ROUND(I344*H344,2)</f>
        <v>0</v>
      </c>
      <c r="K344" s="311" t="s">
        <v>613</v>
      </c>
      <c r="L344" s="201"/>
      <c r="M344" s="316" t="s">
        <v>180</v>
      </c>
      <c r="N344" s="317" t="s">
        <v>539</v>
      </c>
      <c r="P344" s="318">
        <f>O344*H344</f>
        <v>0</v>
      </c>
      <c r="Q344" s="318">
        <v>0.0026</v>
      </c>
      <c r="R344" s="318">
        <f>Q344*H344</f>
        <v>0.026</v>
      </c>
      <c r="S344" s="318">
        <v>0</v>
      </c>
      <c r="T344" s="319">
        <f>S344*H344</f>
        <v>0</v>
      </c>
      <c r="AR344" s="320" t="s">
        <v>269</v>
      </c>
      <c r="AT344" s="320" t="s">
        <v>610</v>
      </c>
      <c r="AU344" s="320" t="s">
        <v>266</v>
      </c>
      <c r="AY344" s="185" t="s">
        <v>608</v>
      </c>
      <c r="BE344" s="321">
        <f>IF(N344="základní",J344,0)</f>
        <v>0</v>
      </c>
      <c r="BF344" s="321">
        <f>IF(N344="snížená",J344,0)</f>
        <v>0</v>
      </c>
      <c r="BG344" s="321">
        <f>IF(N344="zákl. přenesená",J344,0)</f>
        <v>0</v>
      </c>
      <c r="BH344" s="321">
        <f>IF(N344="sníž. přenesená",J344,0)</f>
        <v>0</v>
      </c>
      <c r="BI344" s="321">
        <f>IF(N344="nulová",J344,0)</f>
        <v>0</v>
      </c>
      <c r="BJ344" s="185" t="s">
        <v>260</v>
      </c>
      <c r="BK344" s="321">
        <f>ROUND(I344*H344,2)</f>
        <v>0</v>
      </c>
      <c r="BL344" s="185" t="s">
        <v>269</v>
      </c>
      <c r="BM344" s="320" t="s">
        <v>912</v>
      </c>
    </row>
    <row r="345" spans="2:47" s="200" customFormat="1" ht="15">
      <c r="B345" s="201"/>
      <c r="D345" s="327" t="s">
        <v>1247</v>
      </c>
      <c r="F345" s="460" t="s">
        <v>911</v>
      </c>
      <c r="I345" s="323"/>
      <c r="L345" s="201"/>
      <c r="M345" s="324"/>
      <c r="T345" s="225"/>
      <c r="AT345" s="185" t="s">
        <v>1247</v>
      </c>
      <c r="AU345" s="185" t="s">
        <v>266</v>
      </c>
    </row>
    <row r="346" spans="2:47" s="200" customFormat="1" ht="15">
      <c r="B346" s="201"/>
      <c r="D346" s="322" t="s">
        <v>615</v>
      </c>
      <c r="F346" s="397" t="s">
        <v>913</v>
      </c>
      <c r="I346" s="323"/>
      <c r="L346" s="201"/>
      <c r="M346" s="324"/>
      <c r="T346" s="225"/>
      <c r="AT346" s="185" t="s">
        <v>615</v>
      </c>
      <c r="AU346" s="185" t="s">
        <v>266</v>
      </c>
    </row>
    <row r="347" spans="2:51" s="325" customFormat="1" ht="15">
      <c r="B347" s="326"/>
      <c r="D347" s="327" t="s">
        <v>617</v>
      </c>
      <c r="E347" s="328" t="s">
        <v>180</v>
      </c>
      <c r="F347" s="329" t="s">
        <v>914</v>
      </c>
      <c r="H347" s="330">
        <v>10</v>
      </c>
      <c r="I347" s="331"/>
      <c r="L347" s="326"/>
      <c r="M347" s="332"/>
      <c r="T347" s="333"/>
      <c r="AT347" s="328" t="s">
        <v>617</v>
      </c>
      <c r="AU347" s="328" t="s">
        <v>266</v>
      </c>
      <c r="AV347" s="325" t="s">
        <v>266</v>
      </c>
      <c r="AW347" s="325" t="s">
        <v>531</v>
      </c>
      <c r="AX347" s="325" t="s">
        <v>260</v>
      </c>
      <c r="AY347" s="328" t="s">
        <v>608</v>
      </c>
    </row>
    <row r="348" spans="2:65" s="200" customFormat="1" ht="16.5" customHeight="1">
      <c r="B348" s="201"/>
      <c r="C348" s="309" t="s">
        <v>368</v>
      </c>
      <c r="D348" s="309" t="s">
        <v>610</v>
      </c>
      <c r="E348" s="310" t="s">
        <v>915</v>
      </c>
      <c r="F348" s="311" t="s">
        <v>1290</v>
      </c>
      <c r="G348" s="312" t="s">
        <v>35</v>
      </c>
      <c r="H348" s="313">
        <v>63</v>
      </c>
      <c r="I348" s="314"/>
      <c r="J348" s="315">
        <f>ROUND(I348*H348,2)</f>
        <v>0</v>
      </c>
      <c r="K348" s="311" t="s">
        <v>613</v>
      </c>
      <c r="L348" s="201"/>
      <c r="M348" s="316" t="s">
        <v>180</v>
      </c>
      <c r="N348" s="317" t="s">
        <v>539</v>
      </c>
      <c r="P348" s="318">
        <f>O348*H348</f>
        <v>0</v>
      </c>
      <c r="Q348" s="318">
        <v>0</v>
      </c>
      <c r="R348" s="318">
        <f>Q348*H348</f>
        <v>0</v>
      </c>
      <c r="S348" s="318">
        <v>0</v>
      </c>
      <c r="T348" s="319">
        <f>S348*H348</f>
        <v>0</v>
      </c>
      <c r="AR348" s="320" t="s">
        <v>269</v>
      </c>
      <c r="AT348" s="320" t="s">
        <v>610</v>
      </c>
      <c r="AU348" s="320" t="s">
        <v>266</v>
      </c>
      <c r="AY348" s="185" t="s">
        <v>608</v>
      </c>
      <c r="BE348" s="321">
        <f>IF(N348="základní",J348,0)</f>
        <v>0</v>
      </c>
      <c r="BF348" s="321">
        <f>IF(N348="snížená",J348,0)</f>
        <v>0</v>
      </c>
      <c r="BG348" s="321">
        <f>IF(N348="zákl. přenesená",J348,0)</f>
        <v>0</v>
      </c>
      <c r="BH348" s="321">
        <f>IF(N348="sníž. přenesená",J348,0)</f>
        <v>0</v>
      </c>
      <c r="BI348" s="321">
        <f>IF(N348="nulová",J348,0)</f>
        <v>0</v>
      </c>
      <c r="BJ348" s="185" t="s">
        <v>260</v>
      </c>
      <c r="BK348" s="321">
        <f>ROUND(I348*H348,2)</f>
        <v>0</v>
      </c>
      <c r="BL348" s="185" t="s">
        <v>269</v>
      </c>
      <c r="BM348" s="320" t="s">
        <v>917</v>
      </c>
    </row>
    <row r="349" spans="2:47" s="200" customFormat="1" ht="15">
      <c r="B349" s="201"/>
      <c r="D349" s="327" t="s">
        <v>1247</v>
      </c>
      <c r="F349" s="460" t="s">
        <v>916</v>
      </c>
      <c r="I349" s="323"/>
      <c r="L349" s="201"/>
      <c r="M349" s="324"/>
      <c r="T349" s="225"/>
      <c r="AT349" s="185" t="s">
        <v>1247</v>
      </c>
      <c r="AU349" s="185" t="s">
        <v>266</v>
      </c>
    </row>
    <row r="350" spans="2:47" s="200" customFormat="1" ht="15">
      <c r="B350" s="201"/>
      <c r="D350" s="322" t="s">
        <v>615</v>
      </c>
      <c r="F350" s="397" t="s">
        <v>918</v>
      </c>
      <c r="I350" s="323"/>
      <c r="L350" s="201"/>
      <c r="M350" s="324"/>
      <c r="T350" s="225"/>
      <c r="AT350" s="185" t="s">
        <v>615</v>
      </c>
      <c r="AU350" s="185" t="s">
        <v>266</v>
      </c>
    </row>
    <row r="351" spans="2:65" s="200" customFormat="1" ht="16.5" customHeight="1">
      <c r="B351" s="201"/>
      <c r="C351" s="309" t="s">
        <v>369</v>
      </c>
      <c r="D351" s="309" t="s">
        <v>610</v>
      </c>
      <c r="E351" s="310" t="s">
        <v>919</v>
      </c>
      <c r="F351" s="311" t="s">
        <v>1291</v>
      </c>
      <c r="G351" s="312" t="s">
        <v>261</v>
      </c>
      <c r="H351" s="313">
        <v>10</v>
      </c>
      <c r="I351" s="314"/>
      <c r="J351" s="315">
        <f>ROUND(I351*H351,2)</f>
        <v>0</v>
      </c>
      <c r="K351" s="311" t="s">
        <v>613</v>
      </c>
      <c r="L351" s="201"/>
      <c r="M351" s="316" t="s">
        <v>180</v>
      </c>
      <c r="N351" s="317" t="s">
        <v>539</v>
      </c>
      <c r="P351" s="318">
        <f>O351*H351</f>
        <v>0</v>
      </c>
      <c r="Q351" s="318">
        <v>1E-05</v>
      </c>
      <c r="R351" s="318">
        <f>Q351*H351</f>
        <v>0.0001</v>
      </c>
      <c r="S351" s="318">
        <v>0</v>
      </c>
      <c r="T351" s="319">
        <f>S351*H351</f>
        <v>0</v>
      </c>
      <c r="AR351" s="320" t="s">
        <v>269</v>
      </c>
      <c r="AT351" s="320" t="s">
        <v>610</v>
      </c>
      <c r="AU351" s="320" t="s">
        <v>266</v>
      </c>
      <c r="AY351" s="185" t="s">
        <v>608</v>
      </c>
      <c r="BE351" s="321">
        <f>IF(N351="základní",J351,0)</f>
        <v>0</v>
      </c>
      <c r="BF351" s="321">
        <f>IF(N351="snížená",J351,0)</f>
        <v>0</v>
      </c>
      <c r="BG351" s="321">
        <f>IF(N351="zákl. přenesená",J351,0)</f>
        <v>0</v>
      </c>
      <c r="BH351" s="321">
        <f>IF(N351="sníž. přenesená",J351,0)</f>
        <v>0</v>
      </c>
      <c r="BI351" s="321">
        <f>IF(N351="nulová",J351,0)</f>
        <v>0</v>
      </c>
      <c r="BJ351" s="185" t="s">
        <v>260</v>
      </c>
      <c r="BK351" s="321">
        <f>ROUND(I351*H351,2)</f>
        <v>0</v>
      </c>
      <c r="BL351" s="185" t="s">
        <v>269</v>
      </c>
      <c r="BM351" s="320" t="s">
        <v>921</v>
      </c>
    </row>
    <row r="352" spans="2:47" s="200" customFormat="1" ht="15">
      <c r="B352" s="201"/>
      <c r="D352" s="327" t="s">
        <v>1247</v>
      </c>
      <c r="F352" s="460" t="s">
        <v>920</v>
      </c>
      <c r="I352" s="323"/>
      <c r="L352" s="201"/>
      <c r="M352" s="324"/>
      <c r="T352" s="225"/>
      <c r="AT352" s="185" t="s">
        <v>1247</v>
      </c>
      <c r="AU352" s="185" t="s">
        <v>266</v>
      </c>
    </row>
    <row r="353" spans="2:47" s="200" customFormat="1" ht="15">
      <c r="B353" s="201"/>
      <c r="D353" s="322" t="s">
        <v>615</v>
      </c>
      <c r="F353" s="397" t="s">
        <v>922</v>
      </c>
      <c r="I353" s="323"/>
      <c r="L353" s="201"/>
      <c r="M353" s="324"/>
      <c r="T353" s="225"/>
      <c r="AT353" s="185" t="s">
        <v>615</v>
      </c>
      <c r="AU353" s="185" t="s">
        <v>266</v>
      </c>
    </row>
    <row r="354" spans="2:65" s="200" customFormat="1" ht="16.5" customHeight="1">
      <c r="B354" s="201"/>
      <c r="C354" s="309" t="s">
        <v>370</v>
      </c>
      <c r="D354" s="309" t="s">
        <v>610</v>
      </c>
      <c r="E354" s="310" t="s">
        <v>923</v>
      </c>
      <c r="F354" s="311" t="s">
        <v>1292</v>
      </c>
      <c r="G354" s="312" t="s">
        <v>35</v>
      </c>
      <c r="H354" s="313">
        <v>347</v>
      </c>
      <c r="I354" s="314"/>
      <c r="J354" s="315">
        <f>ROUND(I354*H354,2)</f>
        <v>0</v>
      </c>
      <c r="K354" s="311" t="s">
        <v>613</v>
      </c>
      <c r="L354" s="201"/>
      <c r="M354" s="316" t="s">
        <v>180</v>
      </c>
      <c r="N354" s="317" t="s">
        <v>539</v>
      </c>
      <c r="P354" s="318">
        <f>O354*H354</f>
        <v>0</v>
      </c>
      <c r="Q354" s="318">
        <v>0.14067</v>
      </c>
      <c r="R354" s="318">
        <f>Q354*H354</f>
        <v>48.81249</v>
      </c>
      <c r="S354" s="318">
        <v>0</v>
      </c>
      <c r="T354" s="319">
        <f>S354*H354</f>
        <v>0</v>
      </c>
      <c r="AR354" s="320" t="s">
        <v>269</v>
      </c>
      <c r="AT354" s="320" t="s">
        <v>610</v>
      </c>
      <c r="AU354" s="320" t="s">
        <v>266</v>
      </c>
      <c r="AY354" s="185" t="s">
        <v>608</v>
      </c>
      <c r="BE354" s="321">
        <f>IF(N354="základní",J354,0)</f>
        <v>0</v>
      </c>
      <c r="BF354" s="321">
        <f>IF(N354="snížená",J354,0)</f>
        <v>0</v>
      </c>
      <c r="BG354" s="321">
        <f>IF(N354="zákl. přenesená",J354,0)</f>
        <v>0</v>
      </c>
      <c r="BH354" s="321">
        <f>IF(N354="sníž. přenesená",J354,0)</f>
        <v>0</v>
      </c>
      <c r="BI354" s="321">
        <f>IF(N354="nulová",J354,0)</f>
        <v>0</v>
      </c>
      <c r="BJ354" s="185" t="s">
        <v>260</v>
      </c>
      <c r="BK354" s="321">
        <f>ROUND(I354*H354,2)</f>
        <v>0</v>
      </c>
      <c r="BL354" s="185" t="s">
        <v>269</v>
      </c>
      <c r="BM354" s="320" t="s">
        <v>925</v>
      </c>
    </row>
    <row r="355" spans="2:47" s="200" customFormat="1" ht="19.5">
      <c r="B355" s="201"/>
      <c r="D355" s="327" t="s">
        <v>1247</v>
      </c>
      <c r="F355" s="460" t="s">
        <v>924</v>
      </c>
      <c r="I355" s="323"/>
      <c r="L355" s="201"/>
      <c r="M355" s="324"/>
      <c r="T355" s="225"/>
      <c r="AT355" s="185" t="s">
        <v>1247</v>
      </c>
      <c r="AU355" s="185" t="s">
        <v>266</v>
      </c>
    </row>
    <row r="356" spans="2:47" s="200" customFormat="1" ht="15">
      <c r="B356" s="201"/>
      <c r="D356" s="322" t="s">
        <v>615</v>
      </c>
      <c r="F356" s="397" t="s">
        <v>926</v>
      </c>
      <c r="I356" s="323"/>
      <c r="L356" s="201"/>
      <c r="M356" s="324"/>
      <c r="T356" s="225"/>
      <c r="AT356" s="185" t="s">
        <v>615</v>
      </c>
      <c r="AU356" s="185" t="s">
        <v>266</v>
      </c>
    </row>
    <row r="357" spans="2:51" s="325" customFormat="1" ht="15">
      <c r="B357" s="326"/>
      <c r="D357" s="327" t="s">
        <v>617</v>
      </c>
      <c r="E357" s="328" t="s">
        <v>180</v>
      </c>
      <c r="F357" s="329" t="s">
        <v>927</v>
      </c>
      <c r="H357" s="330">
        <v>347</v>
      </c>
      <c r="I357" s="331"/>
      <c r="L357" s="326"/>
      <c r="M357" s="332"/>
      <c r="T357" s="333"/>
      <c r="AT357" s="328" t="s">
        <v>617</v>
      </c>
      <c r="AU357" s="328" t="s">
        <v>266</v>
      </c>
      <c r="AV357" s="325" t="s">
        <v>266</v>
      </c>
      <c r="AW357" s="325" t="s">
        <v>531</v>
      </c>
      <c r="AX357" s="325" t="s">
        <v>260</v>
      </c>
      <c r="AY357" s="328" t="s">
        <v>608</v>
      </c>
    </row>
    <row r="358" spans="2:65" s="200" customFormat="1" ht="16.5" customHeight="1">
      <c r="B358" s="201"/>
      <c r="C358" s="349" t="s">
        <v>372</v>
      </c>
      <c r="D358" s="349" t="s">
        <v>728</v>
      </c>
      <c r="E358" s="350" t="s">
        <v>928</v>
      </c>
      <c r="F358" s="351" t="s">
        <v>929</v>
      </c>
      <c r="G358" s="352" t="s">
        <v>35</v>
      </c>
      <c r="H358" s="353">
        <v>99</v>
      </c>
      <c r="I358" s="354"/>
      <c r="J358" s="355">
        <f>ROUND(I358*H358,2)</f>
        <v>0</v>
      </c>
      <c r="K358" s="351" t="s">
        <v>180</v>
      </c>
      <c r="L358" s="356"/>
      <c r="M358" s="357" t="s">
        <v>180</v>
      </c>
      <c r="N358" s="358" t="s">
        <v>539</v>
      </c>
      <c r="P358" s="318">
        <f>O358*H358</f>
        <v>0</v>
      </c>
      <c r="Q358" s="318">
        <v>0.082</v>
      </c>
      <c r="R358" s="318">
        <f>Q358*H358</f>
        <v>8.118</v>
      </c>
      <c r="S358" s="318">
        <v>0</v>
      </c>
      <c r="T358" s="319">
        <f>S358*H358</f>
        <v>0</v>
      </c>
      <c r="AR358" s="320" t="s">
        <v>273</v>
      </c>
      <c r="AT358" s="320" t="s">
        <v>728</v>
      </c>
      <c r="AU358" s="320" t="s">
        <v>266</v>
      </c>
      <c r="AY358" s="185" t="s">
        <v>608</v>
      </c>
      <c r="BE358" s="321">
        <f>IF(N358="základní",J358,0)</f>
        <v>0</v>
      </c>
      <c r="BF358" s="321">
        <f>IF(N358="snížená",J358,0)</f>
        <v>0</v>
      </c>
      <c r="BG358" s="321">
        <f>IF(N358="zákl. přenesená",J358,0)</f>
        <v>0</v>
      </c>
      <c r="BH358" s="321">
        <f>IF(N358="sníž. přenesená",J358,0)</f>
        <v>0</v>
      </c>
      <c r="BI358" s="321">
        <f>IF(N358="nulová",J358,0)</f>
        <v>0</v>
      </c>
      <c r="BJ358" s="185" t="s">
        <v>260</v>
      </c>
      <c r="BK358" s="321">
        <f>ROUND(I358*H358,2)</f>
        <v>0</v>
      </c>
      <c r="BL358" s="185" t="s">
        <v>269</v>
      </c>
      <c r="BM358" s="320" t="s">
        <v>930</v>
      </c>
    </row>
    <row r="359" spans="2:47" s="200" customFormat="1" ht="15">
      <c r="B359" s="201"/>
      <c r="D359" s="327" t="s">
        <v>1247</v>
      </c>
      <c r="F359" s="460" t="s">
        <v>929</v>
      </c>
      <c r="I359" s="323"/>
      <c r="L359" s="201"/>
      <c r="M359" s="324"/>
      <c r="T359" s="225"/>
      <c r="AT359" s="185" t="s">
        <v>1247</v>
      </c>
      <c r="AU359" s="185" t="s">
        <v>266</v>
      </c>
    </row>
    <row r="360" spans="2:51" s="342" customFormat="1" ht="15">
      <c r="B360" s="343"/>
      <c r="D360" s="327" t="s">
        <v>617</v>
      </c>
      <c r="E360" s="344" t="s">
        <v>180</v>
      </c>
      <c r="F360" s="345" t="s">
        <v>931</v>
      </c>
      <c r="H360" s="344" t="s">
        <v>180</v>
      </c>
      <c r="I360" s="346"/>
      <c r="L360" s="343"/>
      <c r="M360" s="347"/>
      <c r="T360" s="348"/>
      <c r="AT360" s="344" t="s">
        <v>617</v>
      </c>
      <c r="AU360" s="344" t="s">
        <v>266</v>
      </c>
      <c r="AV360" s="342" t="s">
        <v>260</v>
      </c>
      <c r="AW360" s="342" t="s">
        <v>531</v>
      </c>
      <c r="AX360" s="342" t="s">
        <v>301</v>
      </c>
      <c r="AY360" s="344" t="s">
        <v>608</v>
      </c>
    </row>
    <row r="361" spans="2:51" s="325" customFormat="1" ht="15">
      <c r="B361" s="326"/>
      <c r="D361" s="327" t="s">
        <v>617</v>
      </c>
      <c r="E361" s="328" t="s">
        <v>180</v>
      </c>
      <c r="F361" s="329" t="s">
        <v>932</v>
      </c>
      <c r="H361" s="330">
        <v>99</v>
      </c>
      <c r="I361" s="331"/>
      <c r="L361" s="326"/>
      <c r="M361" s="332"/>
      <c r="T361" s="333"/>
      <c r="AT361" s="328" t="s">
        <v>617</v>
      </c>
      <c r="AU361" s="328" t="s">
        <v>266</v>
      </c>
      <c r="AV361" s="325" t="s">
        <v>266</v>
      </c>
      <c r="AW361" s="325" t="s">
        <v>531</v>
      </c>
      <c r="AX361" s="325" t="s">
        <v>260</v>
      </c>
      <c r="AY361" s="328" t="s">
        <v>608</v>
      </c>
    </row>
    <row r="362" spans="2:65" s="200" customFormat="1" ht="16.5" customHeight="1">
      <c r="B362" s="201"/>
      <c r="C362" s="349" t="s">
        <v>375</v>
      </c>
      <c r="D362" s="349" t="s">
        <v>728</v>
      </c>
      <c r="E362" s="350" t="s">
        <v>933</v>
      </c>
      <c r="F362" s="351" t="s">
        <v>934</v>
      </c>
      <c r="G362" s="352" t="s">
        <v>35</v>
      </c>
      <c r="H362" s="353">
        <v>139</v>
      </c>
      <c r="I362" s="354"/>
      <c r="J362" s="355">
        <f>ROUND(I362*H362,2)</f>
        <v>0</v>
      </c>
      <c r="K362" s="351" t="s">
        <v>180</v>
      </c>
      <c r="L362" s="356"/>
      <c r="M362" s="357" t="s">
        <v>180</v>
      </c>
      <c r="N362" s="358" t="s">
        <v>539</v>
      </c>
      <c r="P362" s="318">
        <f>O362*H362</f>
        <v>0</v>
      </c>
      <c r="Q362" s="318">
        <v>0.082</v>
      </c>
      <c r="R362" s="318">
        <f>Q362*H362</f>
        <v>11.398</v>
      </c>
      <c r="S362" s="318">
        <v>0</v>
      </c>
      <c r="T362" s="319">
        <f>S362*H362</f>
        <v>0</v>
      </c>
      <c r="AR362" s="320" t="s">
        <v>273</v>
      </c>
      <c r="AT362" s="320" t="s">
        <v>728</v>
      </c>
      <c r="AU362" s="320" t="s">
        <v>266</v>
      </c>
      <c r="AY362" s="185" t="s">
        <v>608</v>
      </c>
      <c r="BE362" s="321">
        <f>IF(N362="základní",J362,0)</f>
        <v>0</v>
      </c>
      <c r="BF362" s="321">
        <f>IF(N362="snížená",J362,0)</f>
        <v>0</v>
      </c>
      <c r="BG362" s="321">
        <f>IF(N362="zákl. přenesená",J362,0)</f>
        <v>0</v>
      </c>
      <c r="BH362" s="321">
        <f>IF(N362="sníž. přenesená",J362,0)</f>
        <v>0</v>
      </c>
      <c r="BI362" s="321">
        <f>IF(N362="nulová",J362,0)</f>
        <v>0</v>
      </c>
      <c r="BJ362" s="185" t="s">
        <v>260</v>
      </c>
      <c r="BK362" s="321">
        <f>ROUND(I362*H362,2)</f>
        <v>0</v>
      </c>
      <c r="BL362" s="185" t="s">
        <v>269</v>
      </c>
      <c r="BM362" s="320" t="s">
        <v>935</v>
      </c>
    </row>
    <row r="363" spans="2:47" s="200" customFormat="1" ht="15">
      <c r="B363" s="201"/>
      <c r="D363" s="327" t="s">
        <v>1247</v>
      </c>
      <c r="F363" s="460" t="s">
        <v>934</v>
      </c>
      <c r="I363" s="323"/>
      <c r="L363" s="201"/>
      <c r="M363" s="324"/>
      <c r="T363" s="225"/>
      <c r="AT363" s="185" t="s">
        <v>1247</v>
      </c>
      <c r="AU363" s="185" t="s">
        <v>266</v>
      </c>
    </row>
    <row r="364" spans="2:51" s="342" customFormat="1" ht="15">
      <c r="B364" s="343"/>
      <c r="D364" s="327" t="s">
        <v>617</v>
      </c>
      <c r="E364" s="344" t="s">
        <v>180</v>
      </c>
      <c r="F364" s="345" t="s">
        <v>931</v>
      </c>
      <c r="H364" s="344" t="s">
        <v>180</v>
      </c>
      <c r="I364" s="346"/>
      <c r="L364" s="343"/>
      <c r="M364" s="347"/>
      <c r="T364" s="348"/>
      <c r="AT364" s="344" t="s">
        <v>617</v>
      </c>
      <c r="AU364" s="344" t="s">
        <v>266</v>
      </c>
      <c r="AV364" s="342" t="s">
        <v>260</v>
      </c>
      <c r="AW364" s="342" t="s">
        <v>531</v>
      </c>
      <c r="AX364" s="342" t="s">
        <v>301</v>
      </c>
      <c r="AY364" s="344" t="s">
        <v>608</v>
      </c>
    </row>
    <row r="365" spans="2:51" s="325" customFormat="1" ht="15">
      <c r="B365" s="326"/>
      <c r="D365" s="327" t="s">
        <v>617</v>
      </c>
      <c r="E365" s="328" t="s">
        <v>180</v>
      </c>
      <c r="F365" s="329" t="s">
        <v>936</v>
      </c>
      <c r="H365" s="330">
        <v>139</v>
      </c>
      <c r="I365" s="331"/>
      <c r="L365" s="326"/>
      <c r="M365" s="332"/>
      <c r="T365" s="333"/>
      <c r="AT365" s="328" t="s">
        <v>617</v>
      </c>
      <c r="AU365" s="328" t="s">
        <v>266</v>
      </c>
      <c r="AV365" s="325" t="s">
        <v>266</v>
      </c>
      <c r="AW365" s="325" t="s">
        <v>531</v>
      </c>
      <c r="AX365" s="325" t="s">
        <v>260</v>
      </c>
      <c r="AY365" s="328" t="s">
        <v>608</v>
      </c>
    </row>
    <row r="366" spans="2:65" s="200" customFormat="1" ht="16.5" customHeight="1">
      <c r="B366" s="201"/>
      <c r="C366" s="349" t="s">
        <v>376</v>
      </c>
      <c r="D366" s="349" t="s">
        <v>728</v>
      </c>
      <c r="E366" s="350" t="s">
        <v>937</v>
      </c>
      <c r="F366" s="351" t="s">
        <v>938</v>
      </c>
      <c r="G366" s="352" t="s">
        <v>35</v>
      </c>
      <c r="H366" s="353">
        <v>16</v>
      </c>
      <c r="I366" s="354"/>
      <c r="J366" s="355">
        <f>ROUND(I366*H366,2)</f>
        <v>0</v>
      </c>
      <c r="K366" s="351" t="s">
        <v>180</v>
      </c>
      <c r="L366" s="356"/>
      <c r="M366" s="357" t="s">
        <v>180</v>
      </c>
      <c r="N366" s="358" t="s">
        <v>539</v>
      </c>
      <c r="P366" s="318">
        <f>O366*H366</f>
        <v>0</v>
      </c>
      <c r="Q366" s="318">
        <v>0.082</v>
      </c>
      <c r="R366" s="318">
        <f>Q366*H366</f>
        <v>1.312</v>
      </c>
      <c r="S366" s="318">
        <v>0</v>
      </c>
      <c r="T366" s="319">
        <f>S366*H366</f>
        <v>0</v>
      </c>
      <c r="AR366" s="320" t="s">
        <v>273</v>
      </c>
      <c r="AT366" s="320" t="s">
        <v>728</v>
      </c>
      <c r="AU366" s="320" t="s">
        <v>266</v>
      </c>
      <c r="AY366" s="185" t="s">
        <v>608</v>
      </c>
      <c r="BE366" s="321">
        <f>IF(N366="základní",J366,0)</f>
        <v>0</v>
      </c>
      <c r="BF366" s="321">
        <f>IF(N366="snížená",J366,0)</f>
        <v>0</v>
      </c>
      <c r="BG366" s="321">
        <f>IF(N366="zákl. přenesená",J366,0)</f>
        <v>0</v>
      </c>
      <c r="BH366" s="321">
        <f>IF(N366="sníž. přenesená",J366,0)</f>
        <v>0</v>
      </c>
      <c r="BI366" s="321">
        <f>IF(N366="nulová",J366,0)</f>
        <v>0</v>
      </c>
      <c r="BJ366" s="185" t="s">
        <v>260</v>
      </c>
      <c r="BK366" s="321">
        <f>ROUND(I366*H366,2)</f>
        <v>0</v>
      </c>
      <c r="BL366" s="185" t="s">
        <v>269</v>
      </c>
      <c r="BM366" s="320" t="s">
        <v>939</v>
      </c>
    </row>
    <row r="367" spans="2:47" s="200" customFormat="1" ht="15">
      <c r="B367" s="201"/>
      <c r="D367" s="327" t="s">
        <v>1247</v>
      </c>
      <c r="F367" s="460" t="s">
        <v>938</v>
      </c>
      <c r="I367" s="323"/>
      <c r="L367" s="201"/>
      <c r="M367" s="324"/>
      <c r="T367" s="225"/>
      <c r="AT367" s="185" t="s">
        <v>1247</v>
      </c>
      <c r="AU367" s="185" t="s">
        <v>266</v>
      </c>
    </row>
    <row r="368" spans="2:51" s="342" customFormat="1" ht="15">
      <c r="B368" s="343"/>
      <c r="D368" s="327" t="s">
        <v>617</v>
      </c>
      <c r="E368" s="344" t="s">
        <v>180</v>
      </c>
      <c r="F368" s="345" t="s">
        <v>931</v>
      </c>
      <c r="H368" s="344" t="s">
        <v>180</v>
      </c>
      <c r="I368" s="346"/>
      <c r="L368" s="343"/>
      <c r="M368" s="347"/>
      <c r="T368" s="348"/>
      <c r="AT368" s="344" t="s">
        <v>617</v>
      </c>
      <c r="AU368" s="344" t="s">
        <v>266</v>
      </c>
      <c r="AV368" s="342" t="s">
        <v>260</v>
      </c>
      <c r="AW368" s="342" t="s">
        <v>531</v>
      </c>
      <c r="AX368" s="342" t="s">
        <v>301</v>
      </c>
      <c r="AY368" s="344" t="s">
        <v>608</v>
      </c>
    </row>
    <row r="369" spans="2:51" s="325" customFormat="1" ht="15">
      <c r="B369" s="326"/>
      <c r="D369" s="327" t="s">
        <v>617</v>
      </c>
      <c r="E369" s="328" t="s">
        <v>180</v>
      </c>
      <c r="F369" s="329" t="s">
        <v>940</v>
      </c>
      <c r="H369" s="330">
        <v>16</v>
      </c>
      <c r="I369" s="331"/>
      <c r="L369" s="326"/>
      <c r="M369" s="332"/>
      <c r="T369" s="333"/>
      <c r="AT369" s="328" t="s">
        <v>617</v>
      </c>
      <c r="AU369" s="328" t="s">
        <v>266</v>
      </c>
      <c r="AV369" s="325" t="s">
        <v>266</v>
      </c>
      <c r="AW369" s="325" t="s">
        <v>531</v>
      </c>
      <c r="AX369" s="325" t="s">
        <v>260</v>
      </c>
      <c r="AY369" s="328" t="s">
        <v>608</v>
      </c>
    </row>
    <row r="370" spans="2:65" s="200" customFormat="1" ht="16.5" customHeight="1">
      <c r="B370" s="201"/>
      <c r="C370" s="349" t="s">
        <v>377</v>
      </c>
      <c r="D370" s="349" t="s">
        <v>728</v>
      </c>
      <c r="E370" s="350" t="s">
        <v>941</v>
      </c>
      <c r="F370" s="351" t="s">
        <v>942</v>
      </c>
      <c r="G370" s="352" t="s">
        <v>35</v>
      </c>
      <c r="H370" s="353">
        <v>106</v>
      </c>
      <c r="I370" s="354"/>
      <c r="J370" s="355">
        <f>ROUND(I370*H370,2)</f>
        <v>0</v>
      </c>
      <c r="K370" s="351" t="s">
        <v>180</v>
      </c>
      <c r="L370" s="356"/>
      <c r="M370" s="357" t="s">
        <v>180</v>
      </c>
      <c r="N370" s="358" t="s">
        <v>539</v>
      </c>
      <c r="P370" s="318">
        <f>O370*H370</f>
        <v>0</v>
      </c>
      <c r="Q370" s="318">
        <v>0.082</v>
      </c>
      <c r="R370" s="318">
        <f>Q370*H370</f>
        <v>8.692</v>
      </c>
      <c r="S370" s="318">
        <v>0</v>
      </c>
      <c r="T370" s="319">
        <f>S370*H370</f>
        <v>0</v>
      </c>
      <c r="AR370" s="320" t="s">
        <v>273</v>
      </c>
      <c r="AT370" s="320" t="s">
        <v>728</v>
      </c>
      <c r="AU370" s="320" t="s">
        <v>266</v>
      </c>
      <c r="AY370" s="185" t="s">
        <v>608</v>
      </c>
      <c r="BE370" s="321">
        <f>IF(N370="základní",J370,0)</f>
        <v>0</v>
      </c>
      <c r="BF370" s="321">
        <f>IF(N370="snížená",J370,0)</f>
        <v>0</v>
      </c>
      <c r="BG370" s="321">
        <f>IF(N370="zákl. přenesená",J370,0)</f>
        <v>0</v>
      </c>
      <c r="BH370" s="321">
        <f>IF(N370="sníž. přenesená",J370,0)</f>
        <v>0</v>
      </c>
      <c r="BI370" s="321">
        <f>IF(N370="nulová",J370,0)</f>
        <v>0</v>
      </c>
      <c r="BJ370" s="185" t="s">
        <v>260</v>
      </c>
      <c r="BK370" s="321">
        <f>ROUND(I370*H370,2)</f>
        <v>0</v>
      </c>
      <c r="BL370" s="185" t="s">
        <v>269</v>
      </c>
      <c r="BM370" s="320" t="s">
        <v>943</v>
      </c>
    </row>
    <row r="371" spans="2:47" s="200" customFormat="1" ht="15">
      <c r="B371" s="201"/>
      <c r="D371" s="327" t="s">
        <v>1247</v>
      </c>
      <c r="F371" s="460" t="s">
        <v>942</v>
      </c>
      <c r="I371" s="323"/>
      <c r="L371" s="201"/>
      <c r="M371" s="324"/>
      <c r="T371" s="225"/>
      <c r="AT371" s="185" t="s">
        <v>1247</v>
      </c>
      <c r="AU371" s="185" t="s">
        <v>266</v>
      </c>
    </row>
    <row r="372" spans="2:51" s="342" customFormat="1" ht="15">
      <c r="B372" s="343"/>
      <c r="D372" s="327" t="s">
        <v>617</v>
      </c>
      <c r="E372" s="344" t="s">
        <v>180</v>
      </c>
      <c r="F372" s="345" t="s">
        <v>931</v>
      </c>
      <c r="H372" s="344" t="s">
        <v>180</v>
      </c>
      <c r="I372" s="346"/>
      <c r="L372" s="343"/>
      <c r="M372" s="347"/>
      <c r="T372" s="348"/>
      <c r="AT372" s="344" t="s">
        <v>617</v>
      </c>
      <c r="AU372" s="344" t="s">
        <v>266</v>
      </c>
      <c r="AV372" s="342" t="s">
        <v>260</v>
      </c>
      <c r="AW372" s="342" t="s">
        <v>531</v>
      </c>
      <c r="AX372" s="342" t="s">
        <v>301</v>
      </c>
      <c r="AY372" s="344" t="s">
        <v>608</v>
      </c>
    </row>
    <row r="373" spans="2:51" s="325" customFormat="1" ht="15">
      <c r="B373" s="326"/>
      <c r="D373" s="327" t="s">
        <v>617</v>
      </c>
      <c r="E373" s="328" t="s">
        <v>180</v>
      </c>
      <c r="F373" s="329" t="s">
        <v>944</v>
      </c>
      <c r="H373" s="330">
        <v>106</v>
      </c>
      <c r="I373" s="331"/>
      <c r="L373" s="326"/>
      <c r="M373" s="332"/>
      <c r="T373" s="333"/>
      <c r="AT373" s="328" t="s">
        <v>617</v>
      </c>
      <c r="AU373" s="328" t="s">
        <v>266</v>
      </c>
      <c r="AV373" s="325" t="s">
        <v>266</v>
      </c>
      <c r="AW373" s="325" t="s">
        <v>531</v>
      </c>
      <c r="AX373" s="325" t="s">
        <v>260</v>
      </c>
      <c r="AY373" s="328" t="s">
        <v>608</v>
      </c>
    </row>
    <row r="374" spans="2:65" s="200" customFormat="1" ht="21.75" customHeight="1">
      <c r="B374" s="201"/>
      <c r="C374" s="309" t="s">
        <v>379</v>
      </c>
      <c r="D374" s="309" t="s">
        <v>610</v>
      </c>
      <c r="E374" s="310" t="s">
        <v>945</v>
      </c>
      <c r="F374" s="311" t="s">
        <v>1293</v>
      </c>
      <c r="G374" s="312" t="s">
        <v>35</v>
      </c>
      <c r="H374" s="313">
        <v>188.2</v>
      </c>
      <c r="I374" s="314"/>
      <c r="J374" s="315">
        <f>ROUND(I374*H374,2)</f>
        <v>0</v>
      </c>
      <c r="K374" s="311" t="s">
        <v>613</v>
      </c>
      <c r="L374" s="201"/>
      <c r="M374" s="316" t="s">
        <v>180</v>
      </c>
      <c r="N374" s="317" t="s">
        <v>539</v>
      </c>
      <c r="P374" s="318">
        <f>O374*H374</f>
        <v>0</v>
      </c>
      <c r="Q374" s="318">
        <v>0.00061</v>
      </c>
      <c r="R374" s="318">
        <f>Q374*H374</f>
        <v>0.11480199999999999</v>
      </c>
      <c r="S374" s="318">
        <v>0</v>
      </c>
      <c r="T374" s="319">
        <f>S374*H374</f>
        <v>0</v>
      </c>
      <c r="AR374" s="320" t="s">
        <v>269</v>
      </c>
      <c r="AT374" s="320" t="s">
        <v>610</v>
      </c>
      <c r="AU374" s="320" t="s">
        <v>266</v>
      </c>
      <c r="AY374" s="185" t="s">
        <v>608</v>
      </c>
      <c r="BE374" s="321">
        <f>IF(N374="základní",J374,0)</f>
        <v>0</v>
      </c>
      <c r="BF374" s="321">
        <f>IF(N374="snížená",J374,0)</f>
        <v>0</v>
      </c>
      <c r="BG374" s="321">
        <f>IF(N374="zákl. přenesená",J374,0)</f>
        <v>0</v>
      </c>
      <c r="BH374" s="321">
        <f>IF(N374="sníž. přenesená",J374,0)</f>
        <v>0</v>
      </c>
      <c r="BI374" s="321">
        <f>IF(N374="nulová",J374,0)</f>
        <v>0</v>
      </c>
      <c r="BJ374" s="185" t="s">
        <v>260</v>
      </c>
      <c r="BK374" s="321">
        <f>ROUND(I374*H374,2)</f>
        <v>0</v>
      </c>
      <c r="BL374" s="185" t="s">
        <v>269</v>
      </c>
      <c r="BM374" s="320" t="s">
        <v>947</v>
      </c>
    </row>
    <row r="375" spans="2:47" s="200" customFormat="1" ht="19.5">
      <c r="B375" s="201"/>
      <c r="D375" s="327" t="s">
        <v>1247</v>
      </c>
      <c r="F375" s="460" t="s">
        <v>946</v>
      </c>
      <c r="I375" s="323"/>
      <c r="L375" s="201"/>
      <c r="M375" s="324"/>
      <c r="T375" s="225"/>
      <c r="AT375" s="185" t="s">
        <v>1247</v>
      </c>
      <c r="AU375" s="185" t="s">
        <v>266</v>
      </c>
    </row>
    <row r="376" spans="2:47" s="200" customFormat="1" ht="15">
      <c r="B376" s="201"/>
      <c r="D376" s="322" t="s">
        <v>615</v>
      </c>
      <c r="F376" s="397" t="s">
        <v>948</v>
      </c>
      <c r="I376" s="323"/>
      <c r="L376" s="201"/>
      <c r="M376" s="324"/>
      <c r="T376" s="225"/>
      <c r="AT376" s="185" t="s">
        <v>615</v>
      </c>
      <c r="AU376" s="185" t="s">
        <v>266</v>
      </c>
    </row>
    <row r="377" spans="2:51" s="325" customFormat="1" ht="15">
      <c r="B377" s="326"/>
      <c r="D377" s="327" t="s">
        <v>617</v>
      </c>
      <c r="E377" s="328" t="s">
        <v>180</v>
      </c>
      <c r="F377" s="329" t="s">
        <v>949</v>
      </c>
      <c r="H377" s="330">
        <v>188.2</v>
      </c>
      <c r="I377" s="331"/>
      <c r="L377" s="326"/>
      <c r="M377" s="332"/>
      <c r="T377" s="333"/>
      <c r="AT377" s="328" t="s">
        <v>617</v>
      </c>
      <c r="AU377" s="328" t="s">
        <v>266</v>
      </c>
      <c r="AV377" s="325" t="s">
        <v>266</v>
      </c>
      <c r="AW377" s="325" t="s">
        <v>531</v>
      </c>
      <c r="AX377" s="325" t="s">
        <v>260</v>
      </c>
      <c r="AY377" s="328" t="s">
        <v>608</v>
      </c>
    </row>
    <row r="378" spans="2:65" s="200" customFormat="1" ht="16.5" customHeight="1">
      <c r="B378" s="201"/>
      <c r="C378" s="309" t="s">
        <v>381</v>
      </c>
      <c r="D378" s="309" t="s">
        <v>610</v>
      </c>
      <c r="E378" s="310" t="s">
        <v>950</v>
      </c>
      <c r="F378" s="311" t="s">
        <v>1294</v>
      </c>
      <c r="G378" s="312" t="s">
        <v>35</v>
      </c>
      <c r="H378" s="313">
        <v>188.2</v>
      </c>
      <c r="I378" s="314"/>
      <c r="J378" s="315">
        <f>ROUND(I378*H378,2)</f>
        <v>0</v>
      </c>
      <c r="K378" s="311" t="s">
        <v>613</v>
      </c>
      <c r="L378" s="201"/>
      <c r="M378" s="316" t="s">
        <v>180</v>
      </c>
      <c r="N378" s="317" t="s">
        <v>539</v>
      </c>
      <c r="P378" s="318">
        <f>O378*H378</f>
        <v>0</v>
      </c>
      <c r="Q378" s="318">
        <v>0</v>
      </c>
      <c r="R378" s="318">
        <f>Q378*H378</f>
        <v>0</v>
      </c>
      <c r="S378" s="318">
        <v>0</v>
      </c>
      <c r="T378" s="319">
        <f>S378*H378</f>
        <v>0</v>
      </c>
      <c r="AR378" s="320" t="s">
        <v>269</v>
      </c>
      <c r="AT378" s="320" t="s">
        <v>610</v>
      </c>
      <c r="AU378" s="320" t="s">
        <v>266</v>
      </c>
      <c r="AY378" s="185" t="s">
        <v>608</v>
      </c>
      <c r="BE378" s="321">
        <f>IF(N378="základní",J378,0)</f>
        <v>0</v>
      </c>
      <c r="BF378" s="321">
        <f>IF(N378="snížená",J378,0)</f>
        <v>0</v>
      </c>
      <c r="BG378" s="321">
        <f>IF(N378="zákl. přenesená",J378,0)</f>
        <v>0</v>
      </c>
      <c r="BH378" s="321">
        <f>IF(N378="sníž. přenesená",J378,0)</f>
        <v>0</v>
      </c>
      <c r="BI378" s="321">
        <f>IF(N378="nulová",J378,0)</f>
        <v>0</v>
      </c>
      <c r="BJ378" s="185" t="s">
        <v>260</v>
      </c>
      <c r="BK378" s="321">
        <f>ROUND(I378*H378,2)</f>
        <v>0</v>
      </c>
      <c r="BL378" s="185" t="s">
        <v>269</v>
      </c>
      <c r="BM378" s="320" t="s">
        <v>952</v>
      </c>
    </row>
    <row r="379" spans="2:47" s="200" customFormat="1" ht="15">
      <c r="B379" s="201"/>
      <c r="D379" s="327" t="s">
        <v>1247</v>
      </c>
      <c r="F379" s="460" t="s">
        <v>951</v>
      </c>
      <c r="I379" s="323"/>
      <c r="L379" s="201"/>
      <c r="M379" s="324"/>
      <c r="T379" s="225"/>
      <c r="AT379" s="185" t="s">
        <v>1247</v>
      </c>
      <c r="AU379" s="185" t="s">
        <v>266</v>
      </c>
    </row>
    <row r="380" spans="2:47" s="200" customFormat="1" ht="15">
      <c r="B380" s="201"/>
      <c r="D380" s="322" t="s">
        <v>615</v>
      </c>
      <c r="F380" s="397" t="s">
        <v>953</v>
      </c>
      <c r="I380" s="323"/>
      <c r="L380" s="201"/>
      <c r="M380" s="324"/>
      <c r="T380" s="225"/>
      <c r="AT380" s="185" t="s">
        <v>615</v>
      </c>
      <c r="AU380" s="185" t="s">
        <v>266</v>
      </c>
    </row>
    <row r="381" spans="2:51" s="325" customFormat="1" ht="15">
      <c r="B381" s="326"/>
      <c r="D381" s="327" t="s">
        <v>617</v>
      </c>
      <c r="E381" s="328" t="s">
        <v>180</v>
      </c>
      <c r="F381" s="329" t="s">
        <v>949</v>
      </c>
      <c r="H381" s="330">
        <v>188.2</v>
      </c>
      <c r="I381" s="331"/>
      <c r="L381" s="326"/>
      <c r="M381" s="332"/>
      <c r="T381" s="333"/>
      <c r="AT381" s="328" t="s">
        <v>617</v>
      </c>
      <c r="AU381" s="328" t="s">
        <v>266</v>
      </c>
      <c r="AV381" s="325" t="s">
        <v>266</v>
      </c>
      <c r="AW381" s="325" t="s">
        <v>531</v>
      </c>
      <c r="AX381" s="325" t="s">
        <v>260</v>
      </c>
      <c r="AY381" s="328" t="s">
        <v>608</v>
      </c>
    </row>
    <row r="382" spans="2:65" s="200" customFormat="1" ht="16.5" customHeight="1">
      <c r="B382" s="201"/>
      <c r="C382" s="309" t="s">
        <v>383</v>
      </c>
      <c r="D382" s="309" t="s">
        <v>610</v>
      </c>
      <c r="E382" s="310" t="s">
        <v>954</v>
      </c>
      <c r="F382" s="311" t="s">
        <v>1295</v>
      </c>
      <c r="G382" s="312" t="s">
        <v>267</v>
      </c>
      <c r="H382" s="313">
        <v>3</v>
      </c>
      <c r="I382" s="314"/>
      <c r="J382" s="315">
        <f>ROUND(I382*H382,2)</f>
        <v>0</v>
      </c>
      <c r="K382" s="311" t="s">
        <v>613</v>
      </c>
      <c r="L382" s="201"/>
      <c r="M382" s="316" t="s">
        <v>180</v>
      </c>
      <c r="N382" s="317" t="s">
        <v>539</v>
      </c>
      <c r="P382" s="318">
        <f>O382*H382</f>
        <v>0</v>
      </c>
      <c r="Q382" s="318">
        <v>0</v>
      </c>
      <c r="R382" s="318">
        <f>Q382*H382</f>
        <v>0</v>
      </c>
      <c r="S382" s="318">
        <v>0.082</v>
      </c>
      <c r="T382" s="319">
        <f>S382*H382</f>
        <v>0.246</v>
      </c>
      <c r="AR382" s="320" t="s">
        <v>269</v>
      </c>
      <c r="AT382" s="320" t="s">
        <v>610</v>
      </c>
      <c r="AU382" s="320" t="s">
        <v>266</v>
      </c>
      <c r="AY382" s="185" t="s">
        <v>608</v>
      </c>
      <c r="BE382" s="321">
        <f>IF(N382="základní",J382,0)</f>
        <v>0</v>
      </c>
      <c r="BF382" s="321">
        <f>IF(N382="snížená",J382,0)</f>
        <v>0</v>
      </c>
      <c r="BG382" s="321">
        <f>IF(N382="zákl. přenesená",J382,0)</f>
        <v>0</v>
      </c>
      <c r="BH382" s="321">
        <f>IF(N382="sníž. přenesená",J382,0)</f>
        <v>0</v>
      </c>
      <c r="BI382" s="321">
        <f>IF(N382="nulová",J382,0)</f>
        <v>0</v>
      </c>
      <c r="BJ382" s="185" t="s">
        <v>260</v>
      </c>
      <c r="BK382" s="321">
        <f>ROUND(I382*H382,2)</f>
        <v>0</v>
      </c>
      <c r="BL382" s="185" t="s">
        <v>269</v>
      </c>
      <c r="BM382" s="320" t="s">
        <v>956</v>
      </c>
    </row>
    <row r="383" spans="2:47" s="200" customFormat="1" ht="19.5">
      <c r="B383" s="201"/>
      <c r="D383" s="327" t="s">
        <v>1247</v>
      </c>
      <c r="F383" s="460" t="s">
        <v>955</v>
      </c>
      <c r="I383" s="323"/>
      <c r="L383" s="201"/>
      <c r="M383" s="324"/>
      <c r="T383" s="225"/>
      <c r="AT383" s="185" t="s">
        <v>1247</v>
      </c>
      <c r="AU383" s="185" t="s">
        <v>266</v>
      </c>
    </row>
    <row r="384" spans="2:47" s="200" customFormat="1" ht="15">
      <c r="B384" s="201"/>
      <c r="D384" s="322" t="s">
        <v>615</v>
      </c>
      <c r="F384" s="397" t="s">
        <v>957</v>
      </c>
      <c r="I384" s="323"/>
      <c r="L384" s="201"/>
      <c r="M384" s="324"/>
      <c r="T384" s="225"/>
      <c r="AT384" s="185" t="s">
        <v>615</v>
      </c>
      <c r="AU384" s="185" t="s">
        <v>266</v>
      </c>
    </row>
    <row r="385" spans="2:51" s="325" customFormat="1" ht="15">
      <c r="B385" s="326"/>
      <c r="D385" s="327" t="s">
        <v>617</v>
      </c>
      <c r="E385" s="328" t="s">
        <v>180</v>
      </c>
      <c r="F385" s="329" t="s">
        <v>958</v>
      </c>
      <c r="H385" s="330">
        <v>3</v>
      </c>
      <c r="I385" s="331"/>
      <c r="L385" s="326"/>
      <c r="M385" s="332"/>
      <c r="T385" s="333"/>
      <c r="AT385" s="328" t="s">
        <v>617</v>
      </c>
      <c r="AU385" s="328" t="s">
        <v>266</v>
      </c>
      <c r="AV385" s="325" t="s">
        <v>266</v>
      </c>
      <c r="AW385" s="325" t="s">
        <v>531</v>
      </c>
      <c r="AX385" s="325" t="s">
        <v>260</v>
      </c>
      <c r="AY385" s="328" t="s">
        <v>608</v>
      </c>
    </row>
    <row r="386" spans="2:65" s="200" customFormat="1" ht="16.5" customHeight="1">
      <c r="B386" s="201"/>
      <c r="C386" s="309" t="s">
        <v>384</v>
      </c>
      <c r="D386" s="309" t="s">
        <v>610</v>
      </c>
      <c r="E386" s="310" t="s">
        <v>959</v>
      </c>
      <c r="F386" s="311" t="s">
        <v>1296</v>
      </c>
      <c r="G386" s="312" t="s">
        <v>267</v>
      </c>
      <c r="H386" s="313">
        <v>5</v>
      </c>
      <c r="I386" s="314"/>
      <c r="J386" s="315">
        <f>ROUND(I386*H386,2)</f>
        <v>0</v>
      </c>
      <c r="K386" s="311" t="s">
        <v>613</v>
      </c>
      <c r="L386" s="201"/>
      <c r="M386" s="316" t="s">
        <v>180</v>
      </c>
      <c r="N386" s="317" t="s">
        <v>539</v>
      </c>
      <c r="P386" s="318">
        <f>O386*H386</f>
        <v>0</v>
      </c>
      <c r="Q386" s="318">
        <v>0</v>
      </c>
      <c r="R386" s="318">
        <f>Q386*H386</f>
        <v>0</v>
      </c>
      <c r="S386" s="318">
        <v>0.004</v>
      </c>
      <c r="T386" s="319">
        <f>S386*H386</f>
        <v>0.02</v>
      </c>
      <c r="AR386" s="320" t="s">
        <v>269</v>
      </c>
      <c r="AT386" s="320" t="s">
        <v>610</v>
      </c>
      <c r="AU386" s="320" t="s">
        <v>266</v>
      </c>
      <c r="AY386" s="185" t="s">
        <v>608</v>
      </c>
      <c r="BE386" s="321">
        <f>IF(N386="základní",J386,0)</f>
        <v>0</v>
      </c>
      <c r="BF386" s="321">
        <f>IF(N386="snížená",J386,0)</f>
        <v>0</v>
      </c>
      <c r="BG386" s="321">
        <f>IF(N386="zákl. přenesená",J386,0)</f>
        <v>0</v>
      </c>
      <c r="BH386" s="321">
        <f>IF(N386="sníž. přenesená",J386,0)</f>
        <v>0</v>
      </c>
      <c r="BI386" s="321">
        <f>IF(N386="nulová",J386,0)</f>
        <v>0</v>
      </c>
      <c r="BJ386" s="185" t="s">
        <v>260</v>
      </c>
      <c r="BK386" s="321">
        <f>ROUND(I386*H386,2)</f>
        <v>0</v>
      </c>
      <c r="BL386" s="185" t="s">
        <v>269</v>
      </c>
      <c r="BM386" s="320" t="s">
        <v>961</v>
      </c>
    </row>
    <row r="387" spans="2:47" s="200" customFormat="1" ht="19.5">
      <c r="B387" s="201"/>
      <c r="D387" s="327" t="s">
        <v>1247</v>
      </c>
      <c r="F387" s="460" t="s">
        <v>960</v>
      </c>
      <c r="I387" s="323"/>
      <c r="L387" s="201"/>
      <c r="M387" s="324"/>
      <c r="T387" s="225"/>
      <c r="AT387" s="185" t="s">
        <v>1247</v>
      </c>
      <c r="AU387" s="185" t="s">
        <v>266</v>
      </c>
    </row>
    <row r="388" spans="2:47" s="200" customFormat="1" ht="15">
      <c r="B388" s="201"/>
      <c r="D388" s="322" t="s">
        <v>615</v>
      </c>
      <c r="F388" s="397" t="s">
        <v>962</v>
      </c>
      <c r="I388" s="323"/>
      <c r="L388" s="201"/>
      <c r="M388" s="324"/>
      <c r="T388" s="225"/>
      <c r="AT388" s="185" t="s">
        <v>615</v>
      </c>
      <c r="AU388" s="185" t="s">
        <v>266</v>
      </c>
    </row>
    <row r="389" spans="2:51" s="325" customFormat="1" ht="15">
      <c r="B389" s="326"/>
      <c r="D389" s="327" t="s">
        <v>617</v>
      </c>
      <c r="E389" s="328" t="s">
        <v>180</v>
      </c>
      <c r="F389" s="329" t="s">
        <v>963</v>
      </c>
      <c r="H389" s="330">
        <v>5</v>
      </c>
      <c r="I389" s="331"/>
      <c r="L389" s="326"/>
      <c r="M389" s="332"/>
      <c r="T389" s="333"/>
      <c r="AT389" s="328" t="s">
        <v>617</v>
      </c>
      <c r="AU389" s="328" t="s">
        <v>266</v>
      </c>
      <c r="AV389" s="325" t="s">
        <v>266</v>
      </c>
      <c r="AW389" s="325" t="s">
        <v>531</v>
      </c>
      <c r="AX389" s="325" t="s">
        <v>260</v>
      </c>
      <c r="AY389" s="328" t="s">
        <v>608</v>
      </c>
    </row>
    <row r="390" spans="2:63" s="296" customFormat="1" ht="22.9" customHeight="1">
      <c r="B390" s="297"/>
      <c r="D390" s="298" t="s">
        <v>565</v>
      </c>
      <c r="E390" s="307" t="s">
        <v>964</v>
      </c>
      <c r="F390" s="307" t="s">
        <v>965</v>
      </c>
      <c r="I390" s="300"/>
      <c r="J390" s="308">
        <f>BK390</f>
        <v>0</v>
      </c>
      <c r="L390" s="297"/>
      <c r="M390" s="302"/>
      <c r="P390" s="303">
        <f>SUM(P391:P434)</f>
        <v>0</v>
      </c>
      <c r="R390" s="303">
        <f>SUM(R391:R434)</f>
        <v>0</v>
      </c>
      <c r="T390" s="304">
        <f>SUM(T391:T434)</f>
        <v>0</v>
      </c>
      <c r="AR390" s="298" t="s">
        <v>260</v>
      </c>
      <c r="AT390" s="305" t="s">
        <v>565</v>
      </c>
      <c r="AU390" s="305" t="s">
        <v>260</v>
      </c>
      <c r="AY390" s="298" t="s">
        <v>608</v>
      </c>
      <c r="BK390" s="306">
        <f>SUM(BK391:BK434)</f>
        <v>0</v>
      </c>
    </row>
    <row r="391" spans="2:65" s="200" customFormat="1" ht="24.2" customHeight="1">
      <c r="B391" s="201"/>
      <c r="C391" s="309" t="s">
        <v>387</v>
      </c>
      <c r="D391" s="309" t="s">
        <v>610</v>
      </c>
      <c r="E391" s="310" t="s">
        <v>966</v>
      </c>
      <c r="F391" s="311" t="s">
        <v>1297</v>
      </c>
      <c r="G391" s="312" t="s">
        <v>43</v>
      </c>
      <c r="H391" s="313">
        <v>127.035</v>
      </c>
      <c r="I391" s="314"/>
      <c r="J391" s="315">
        <f>ROUND(I391*H391,2)</f>
        <v>0</v>
      </c>
      <c r="K391" s="311" t="s">
        <v>613</v>
      </c>
      <c r="L391" s="201"/>
      <c r="M391" s="316" t="s">
        <v>180</v>
      </c>
      <c r="N391" s="317" t="s">
        <v>539</v>
      </c>
      <c r="P391" s="318">
        <f>O391*H391</f>
        <v>0</v>
      </c>
      <c r="Q391" s="318">
        <v>0</v>
      </c>
      <c r="R391" s="318">
        <f>Q391*H391</f>
        <v>0</v>
      </c>
      <c r="S391" s="318">
        <v>0</v>
      </c>
      <c r="T391" s="319">
        <f>S391*H391</f>
        <v>0</v>
      </c>
      <c r="AR391" s="320" t="s">
        <v>269</v>
      </c>
      <c r="AT391" s="320" t="s">
        <v>610</v>
      </c>
      <c r="AU391" s="320" t="s">
        <v>266</v>
      </c>
      <c r="AY391" s="185" t="s">
        <v>608</v>
      </c>
      <c r="BE391" s="321">
        <f>IF(N391="základní",J391,0)</f>
        <v>0</v>
      </c>
      <c r="BF391" s="321">
        <f>IF(N391="snížená",J391,0)</f>
        <v>0</v>
      </c>
      <c r="BG391" s="321">
        <f>IF(N391="zákl. přenesená",J391,0)</f>
        <v>0</v>
      </c>
      <c r="BH391" s="321">
        <f>IF(N391="sníž. přenesená",J391,0)</f>
        <v>0</v>
      </c>
      <c r="BI391" s="321">
        <f>IF(N391="nulová",J391,0)</f>
        <v>0</v>
      </c>
      <c r="BJ391" s="185" t="s">
        <v>260</v>
      </c>
      <c r="BK391" s="321">
        <f>ROUND(I391*H391,2)</f>
        <v>0</v>
      </c>
      <c r="BL391" s="185" t="s">
        <v>269</v>
      </c>
      <c r="BM391" s="320" t="s">
        <v>968</v>
      </c>
    </row>
    <row r="392" spans="2:47" s="200" customFormat="1" ht="19.5">
      <c r="B392" s="201"/>
      <c r="D392" s="327" t="s">
        <v>1247</v>
      </c>
      <c r="F392" s="460" t="s">
        <v>967</v>
      </c>
      <c r="I392" s="323"/>
      <c r="L392" s="201"/>
      <c r="M392" s="324"/>
      <c r="T392" s="225"/>
      <c r="AT392" s="185" t="s">
        <v>1247</v>
      </c>
      <c r="AU392" s="185" t="s">
        <v>266</v>
      </c>
    </row>
    <row r="393" spans="2:47" s="200" customFormat="1" ht="15">
      <c r="B393" s="201"/>
      <c r="D393" s="322" t="s">
        <v>615</v>
      </c>
      <c r="F393" s="397" t="s">
        <v>969</v>
      </c>
      <c r="I393" s="323"/>
      <c r="L393" s="201"/>
      <c r="M393" s="324"/>
      <c r="T393" s="225"/>
      <c r="AT393" s="185" t="s">
        <v>615</v>
      </c>
      <c r="AU393" s="185" t="s">
        <v>266</v>
      </c>
    </row>
    <row r="394" spans="2:51" s="325" customFormat="1" ht="15">
      <c r="B394" s="326"/>
      <c r="D394" s="327" t="s">
        <v>617</v>
      </c>
      <c r="E394" s="328" t="s">
        <v>180</v>
      </c>
      <c r="F394" s="329" t="s">
        <v>970</v>
      </c>
      <c r="H394" s="330">
        <v>127.035</v>
      </c>
      <c r="I394" s="331"/>
      <c r="L394" s="326"/>
      <c r="M394" s="332"/>
      <c r="T394" s="333"/>
      <c r="AT394" s="328" t="s">
        <v>617</v>
      </c>
      <c r="AU394" s="328" t="s">
        <v>266</v>
      </c>
      <c r="AV394" s="325" t="s">
        <v>266</v>
      </c>
      <c r="AW394" s="325" t="s">
        <v>531</v>
      </c>
      <c r="AX394" s="325" t="s">
        <v>260</v>
      </c>
      <c r="AY394" s="328" t="s">
        <v>608</v>
      </c>
    </row>
    <row r="395" spans="2:65" s="200" customFormat="1" ht="24.2" customHeight="1">
      <c r="B395" s="201"/>
      <c r="C395" s="309" t="s">
        <v>388</v>
      </c>
      <c r="D395" s="309" t="s">
        <v>610</v>
      </c>
      <c r="E395" s="310" t="s">
        <v>971</v>
      </c>
      <c r="F395" s="311" t="s">
        <v>714</v>
      </c>
      <c r="G395" s="312" t="s">
        <v>43</v>
      </c>
      <c r="H395" s="313">
        <v>903.1</v>
      </c>
      <c r="I395" s="314"/>
      <c r="J395" s="315">
        <f>ROUND(I395*H395,2)</f>
        <v>0</v>
      </c>
      <c r="K395" s="311" t="s">
        <v>613</v>
      </c>
      <c r="L395" s="201"/>
      <c r="M395" s="316" t="s">
        <v>180</v>
      </c>
      <c r="N395" s="317" t="s">
        <v>539</v>
      </c>
      <c r="P395" s="318">
        <f>O395*H395</f>
        <v>0</v>
      </c>
      <c r="Q395" s="318">
        <v>0</v>
      </c>
      <c r="R395" s="318">
        <f>Q395*H395</f>
        <v>0</v>
      </c>
      <c r="S395" s="318">
        <v>0</v>
      </c>
      <c r="T395" s="319">
        <f>S395*H395</f>
        <v>0</v>
      </c>
      <c r="AR395" s="320" t="s">
        <v>269</v>
      </c>
      <c r="AT395" s="320" t="s">
        <v>610</v>
      </c>
      <c r="AU395" s="320" t="s">
        <v>266</v>
      </c>
      <c r="AY395" s="185" t="s">
        <v>608</v>
      </c>
      <c r="BE395" s="321">
        <f>IF(N395="základní",J395,0)</f>
        <v>0</v>
      </c>
      <c r="BF395" s="321">
        <f>IF(N395="snížená",J395,0)</f>
        <v>0</v>
      </c>
      <c r="BG395" s="321">
        <f>IF(N395="zákl. přenesená",J395,0)</f>
        <v>0</v>
      </c>
      <c r="BH395" s="321">
        <f>IF(N395="sníž. přenesená",J395,0)</f>
        <v>0</v>
      </c>
      <c r="BI395" s="321">
        <f>IF(N395="nulová",J395,0)</f>
        <v>0</v>
      </c>
      <c r="BJ395" s="185" t="s">
        <v>260</v>
      </c>
      <c r="BK395" s="321">
        <f>ROUND(I395*H395,2)</f>
        <v>0</v>
      </c>
      <c r="BL395" s="185" t="s">
        <v>269</v>
      </c>
      <c r="BM395" s="320" t="s">
        <v>972</v>
      </c>
    </row>
    <row r="396" spans="2:47" s="200" customFormat="1" ht="19.5">
      <c r="B396" s="201"/>
      <c r="D396" s="327" t="s">
        <v>1247</v>
      </c>
      <c r="F396" s="460" t="s">
        <v>714</v>
      </c>
      <c r="I396" s="323"/>
      <c r="L396" s="201"/>
      <c r="M396" s="324"/>
      <c r="T396" s="225"/>
      <c r="AT396" s="185" t="s">
        <v>1247</v>
      </c>
      <c r="AU396" s="185" t="s">
        <v>266</v>
      </c>
    </row>
    <row r="397" spans="2:47" s="200" customFormat="1" ht="15">
      <c r="B397" s="201"/>
      <c r="D397" s="322" t="s">
        <v>615</v>
      </c>
      <c r="F397" s="397" t="s">
        <v>973</v>
      </c>
      <c r="I397" s="323"/>
      <c r="L397" s="201"/>
      <c r="M397" s="324"/>
      <c r="T397" s="225"/>
      <c r="AT397" s="185" t="s">
        <v>615</v>
      </c>
      <c r="AU397" s="185" t="s">
        <v>266</v>
      </c>
    </row>
    <row r="398" spans="2:51" s="325" customFormat="1" ht="15">
      <c r="B398" s="326"/>
      <c r="D398" s="327" t="s">
        <v>617</v>
      </c>
      <c r="E398" s="328" t="s">
        <v>180</v>
      </c>
      <c r="F398" s="329" t="s">
        <v>974</v>
      </c>
      <c r="H398" s="330">
        <v>903.1</v>
      </c>
      <c r="I398" s="331"/>
      <c r="L398" s="326"/>
      <c r="M398" s="332"/>
      <c r="T398" s="333"/>
      <c r="AT398" s="328" t="s">
        <v>617</v>
      </c>
      <c r="AU398" s="328" t="s">
        <v>266</v>
      </c>
      <c r="AV398" s="325" t="s">
        <v>266</v>
      </c>
      <c r="AW398" s="325" t="s">
        <v>531</v>
      </c>
      <c r="AX398" s="325" t="s">
        <v>260</v>
      </c>
      <c r="AY398" s="328" t="s">
        <v>608</v>
      </c>
    </row>
    <row r="399" spans="2:65" s="200" customFormat="1" ht="24.2" customHeight="1">
      <c r="B399" s="201"/>
      <c r="C399" s="309" t="s">
        <v>389</v>
      </c>
      <c r="D399" s="309" t="s">
        <v>610</v>
      </c>
      <c r="E399" s="310" t="s">
        <v>975</v>
      </c>
      <c r="F399" s="311" t="s">
        <v>976</v>
      </c>
      <c r="G399" s="312" t="s">
        <v>43</v>
      </c>
      <c r="H399" s="313">
        <v>175.92</v>
      </c>
      <c r="I399" s="314"/>
      <c r="J399" s="315">
        <f>ROUND(I399*H399,2)</f>
        <v>0</v>
      </c>
      <c r="K399" s="311" t="s">
        <v>613</v>
      </c>
      <c r="L399" s="201"/>
      <c r="M399" s="316" t="s">
        <v>180</v>
      </c>
      <c r="N399" s="317" t="s">
        <v>539</v>
      </c>
      <c r="P399" s="318">
        <f>O399*H399</f>
        <v>0</v>
      </c>
      <c r="Q399" s="318">
        <v>0</v>
      </c>
      <c r="R399" s="318">
        <f>Q399*H399</f>
        <v>0</v>
      </c>
      <c r="S399" s="318">
        <v>0</v>
      </c>
      <c r="T399" s="319">
        <f>S399*H399</f>
        <v>0</v>
      </c>
      <c r="AR399" s="320" t="s">
        <v>269</v>
      </c>
      <c r="AT399" s="320" t="s">
        <v>610</v>
      </c>
      <c r="AU399" s="320" t="s">
        <v>266</v>
      </c>
      <c r="AY399" s="185" t="s">
        <v>608</v>
      </c>
      <c r="BE399" s="321">
        <f>IF(N399="základní",J399,0)</f>
        <v>0</v>
      </c>
      <c r="BF399" s="321">
        <f>IF(N399="snížená",J399,0)</f>
        <v>0</v>
      </c>
      <c r="BG399" s="321">
        <f>IF(N399="zákl. přenesená",J399,0)</f>
        <v>0</v>
      </c>
      <c r="BH399" s="321">
        <f>IF(N399="sníž. přenesená",J399,0)</f>
        <v>0</v>
      </c>
      <c r="BI399" s="321">
        <f>IF(N399="nulová",J399,0)</f>
        <v>0</v>
      </c>
      <c r="BJ399" s="185" t="s">
        <v>260</v>
      </c>
      <c r="BK399" s="321">
        <f>ROUND(I399*H399,2)</f>
        <v>0</v>
      </c>
      <c r="BL399" s="185" t="s">
        <v>269</v>
      </c>
      <c r="BM399" s="320" t="s">
        <v>977</v>
      </c>
    </row>
    <row r="400" spans="2:47" s="200" customFormat="1" ht="19.5">
      <c r="B400" s="201"/>
      <c r="D400" s="327" t="s">
        <v>1247</v>
      </c>
      <c r="F400" s="460" t="s">
        <v>976</v>
      </c>
      <c r="I400" s="323"/>
      <c r="L400" s="201"/>
      <c r="M400" s="324"/>
      <c r="T400" s="225"/>
      <c r="AT400" s="185" t="s">
        <v>1247</v>
      </c>
      <c r="AU400" s="185" t="s">
        <v>266</v>
      </c>
    </row>
    <row r="401" spans="2:47" s="200" customFormat="1" ht="15">
      <c r="B401" s="201"/>
      <c r="D401" s="322" t="s">
        <v>615</v>
      </c>
      <c r="F401" s="397" t="s">
        <v>978</v>
      </c>
      <c r="I401" s="323"/>
      <c r="L401" s="201"/>
      <c r="M401" s="324"/>
      <c r="T401" s="225"/>
      <c r="AT401" s="185" t="s">
        <v>615</v>
      </c>
      <c r="AU401" s="185" t="s">
        <v>266</v>
      </c>
    </row>
    <row r="402" spans="2:51" s="325" customFormat="1" ht="15">
      <c r="B402" s="326"/>
      <c r="D402" s="327" t="s">
        <v>617</v>
      </c>
      <c r="E402" s="328" t="s">
        <v>180</v>
      </c>
      <c r="F402" s="329" t="s">
        <v>979</v>
      </c>
      <c r="H402" s="330">
        <v>175.92</v>
      </c>
      <c r="I402" s="331"/>
      <c r="L402" s="326"/>
      <c r="M402" s="332"/>
      <c r="T402" s="333"/>
      <c r="AT402" s="328" t="s">
        <v>617</v>
      </c>
      <c r="AU402" s="328" t="s">
        <v>266</v>
      </c>
      <c r="AV402" s="325" t="s">
        <v>266</v>
      </c>
      <c r="AW402" s="325" t="s">
        <v>531</v>
      </c>
      <c r="AX402" s="325" t="s">
        <v>260</v>
      </c>
      <c r="AY402" s="328" t="s">
        <v>608</v>
      </c>
    </row>
    <row r="403" spans="2:65" s="200" customFormat="1" ht="16.5" customHeight="1">
      <c r="B403" s="201"/>
      <c r="C403" s="309" t="s">
        <v>390</v>
      </c>
      <c r="D403" s="309" t="s">
        <v>610</v>
      </c>
      <c r="E403" s="310" t="s">
        <v>980</v>
      </c>
      <c r="F403" s="311" t="s">
        <v>1298</v>
      </c>
      <c r="G403" s="312" t="s">
        <v>43</v>
      </c>
      <c r="H403" s="313">
        <v>1206.055</v>
      </c>
      <c r="I403" s="314"/>
      <c r="J403" s="315">
        <f>ROUND(I403*H403,2)</f>
        <v>0</v>
      </c>
      <c r="K403" s="311" t="s">
        <v>613</v>
      </c>
      <c r="L403" s="201"/>
      <c r="M403" s="316" t="s">
        <v>180</v>
      </c>
      <c r="N403" s="317" t="s">
        <v>539</v>
      </c>
      <c r="P403" s="318">
        <f>O403*H403</f>
        <v>0</v>
      </c>
      <c r="Q403" s="318">
        <v>0</v>
      </c>
      <c r="R403" s="318">
        <f>Q403*H403</f>
        <v>0</v>
      </c>
      <c r="S403" s="318">
        <v>0</v>
      </c>
      <c r="T403" s="319">
        <f>S403*H403</f>
        <v>0</v>
      </c>
      <c r="AR403" s="320" t="s">
        <v>269</v>
      </c>
      <c r="AT403" s="320" t="s">
        <v>610</v>
      </c>
      <c r="AU403" s="320" t="s">
        <v>266</v>
      </c>
      <c r="AY403" s="185" t="s">
        <v>608</v>
      </c>
      <c r="BE403" s="321">
        <f>IF(N403="základní",J403,0)</f>
        <v>0</v>
      </c>
      <c r="BF403" s="321">
        <f>IF(N403="snížená",J403,0)</f>
        <v>0</v>
      </c>
      <c r="BG403" s="321">
        <f>IF(N403="zákl. přenesená",J403,0)</f>
        <v>0</v>
      </c>
      <c r="BH403" s="321">
        <f>IF(N403="sníž. přenesená",J403,0)</f>
        <v>0</v>
      </c>
      <c r="BI403" s="321">
        <f>IF(N403="nulová",J403,0)</f>
        <v>0</v>
      </c>
      <c r="BJ403" s="185" t="s">
        <v>260</v>
      </c>
      <c r="BK403" s="321">
        <f>ROUND(I403*H403,2)</f>
        <v>0</v>
      </c>
      <c r="BL403" s="185" t="s">
        <v>269</v>
      </c>
      <c r="BM403" s="320" t="s">
        <v>982</v>
      </c>
    </row>
    <row r="404" spans="2:47" s="200" customFormat="1" ht="15">
      <c r="B404" s="201"/>
      <c r="D404" s="327" t="s">
        <v>1247</v>
      </c>
      <c r="F404" s="460" t="s">
        <v>981</v>
      </c>
      <c r="I404" s="323"/>
      <c r="L404" s="201"/>
      <c r="M404" s="324"/>
      <c r="T404" s="225"/>
      <c r="AT404" s="185" t="s">
        <v>1247</v>
      </c>
      <c r="AU404" s="185" t="s">
        <v>266</v>
      </c>
    </row>
    <row r="405" spans="2:47" s="200" customFormat="1" ht="15">
      <c r="B405" s="201"/>
      <c r="D405" s="322" t="s">
        <v>615</v>
      </c>
      <c r="F405" s="397" t="s">
        <v>983</v>
      </c>
      <c r="I405" s="323"/>
      <c r="L405" s="201"/>
      <c r="M405" s="324"/>
      <c r="T405" s="225"/>
      <c r="AT405" s="185" t="s">
        <v>615</v>
      </c>
      <c r="AU405" s="185" t="s">
        <v>266</v>
      </c>
    </row>
    <row r="406" spans="2:51" s="342" customFormat="1" ht="15">
      <c r="B406" s="343"/>
      <c r="D406" s="327" t="s">
        <v>617</v>
      </c>
      <c r="E406" s="344" t="s">
        <v>180</v>
      </c>
      <c r="F406" s="345" t="s">
        <v>706</v>
      </c>
      <c r="H406" s="344" t="s">
        <v>180</v>
      </c>
      <c r="I406" s="346"/>
      <c r="L406" s="343"/>
      <c r="M406" s="347"/>
      <c r="T406" s="348"/>
      <c r="AT406" s="344" t="s">
        <v>617</v>
      </c>
      <c r="AU406" s="344" t="s">
        <v>266</v>
      </c>
      <c r="AV406" s="342" t="s">
        <v>260</v>
      </c>
      <c r="AW406" s="342" t="s">
        <v>531</v>
      </c>
      <c r="AX406" s="342" t="s">
        <v>301</v>
      </c>
      <c r="AY406" s="344" t="s">
        <v>608</v>
      </c>
    </row>
    <row r="407" spans="2:51" s="342" customFormat="1" ht="15">
      <c r="B407" s="343"/>
      <c r="D407" s="327" t="s">
        <v>617</v>
      </c>
      <c r="E407" s="344" t="s">
        <v>180</v>
      </c>
      <c r="F407" s="345" t="s">
        <v>984</v>
      </c>
      <c r="H407" s="344" t="s">
        <v>180</v>
      </c>
      <c r="I407" s="346"/>
      <c r="L407" s="343"/>
      <c r="M407" s="347"/>
      <c r="T407" s="348"/>
      <c r="AT407" s="344" t="s">
        <v>617</v>
      </c>
      <c r="AU407" s="344" t="s">
        <v>266</v>
      </c>
      <c r="AV407" s="342" t="s">
        <v>260</v>
      </c>
      <c r="AW407" s="342" t="s">
        <v>531</v>
      </c>
      <c r="AX407" s="342" t="s">
        <v>301</v>
      </c>
      <c r="AY407" s="344" t="s">
        <v>608</v>
      </c>
    </row>
    <row r="408" spans="2:51" s="325" customFormat="1" ht="15">
      <c r="B408" s="326"/>
      <c r="D408" s="327" t="s">
        <v>617</v>
      </c>
      <c r="E408" s="328" t="s">
        <v>180</v>
      </c>
      <c r="F408" s="329" t="s">
        <v>985</v>
      </c>
      <c r="H408" s="330">
        <v>6</v>
      </c>
      <c r="I408" s="331"/>
      <c r="L408" s="326"/>
      <c r="M408" s="332"/>
      <c r="T408" s="333"/>
      <c r="AT408" s="328" t="s">
        <v>617</v>
      </c>
      <c r="AU408" s="328" t="s">
        <v>266</v>
      </c>
      <c r="AV408" s="325" t="s">
        <v>266</v>
      </c>
      <c r="AW408" s="325" t="s">
        <v>531</v>
      </c>
      <c r="AX408" s="325" t="s">
        <v>301</v>
      </c>
      <c r="AY408" s="328" t="s">
        <v>608</v>
      </c>
    </row>
    <row r="409" spans="2:51" s="325" customFormat="1" ht="15">
      <c r="B409" s="326"/>
      <c r="D409" s="327" t="s">
        <v>617</v>
      </c>
      <c r="E409" s="328" t="s">
        <v>180</v>
      </c>
      <c r="F409" s="329" t="s">
        <v>986</v>
      </c>
      <c r="H409" s="330">
        <v>1.32</v>
      </c>
      <c r="I409" s="331"/>
      <c r="L409" s="326"/>
      <c r="M409" s="332"/>
      <c r="T409" s="333"/>
      <c r="AT409" s="328" t="s">
        <v>617</v>
      </c>
      <c r="AU409" s="328" t="s">
        <v>266</v>
      </c>
      <c r="AV409" s="325" t="s">
        <v>266</v>
      </c>
      <c r="AW409" s="325" t="s">
        <v>531</v>
      </c>
      <c r="AX409" s="325" t="s">
        <v>301</v>
      </c>
      <c r="AY409" s="328" t="s">
        <v>608</v>
      </c>
    </row>
    <row r="410" spans="2:51" s="325" customFormat="1" ht="15">
      <c r="B410" s="326"/>
      <c r="D410" s="327" t="s">
        <v>617</v>
      </c>
      <c r="E410" s="328" t="s">
        <v>180</v>
      </c>
      <c r="F410" s="329" t="s">
        <v>987</v>
      </c>
      <c r="H410" s="330">
        <v>61.6</v>
      </c>
      <c r="I410" s="331"/>
      <c r="L410" s="326"/>
      <c r="M410" s="332"/>
      <c r="T410" s="333"/>
      <c r="AT410" s="328" t="s">
        <v>617</v>
      </c>
      <c r="AU410" s="328" t="s">
        <v>266</v>
      </c>
      <c r="AV410" s="325" t="s">
        <v>266</v>
      </c>
      <c r="AW410" s="325" t="s">
        <v>531</v>
      </c>
      <c r="AX410" s="325" t="s">
        <v>301</v>
      </c>
      <c r="AY410" s="328" t="s">
        <v>608</v>
      </c>
    </row>
    <row r="411" spans="2:51" s="325" customFormat="1" ht="15">
      <c r="B411" s="326"/>
      <c r="D411" s="327" t="s">
        <v>617</v>
      </c>
      <c r="E411" s="328" t="s">
        <v>180</v>
      </c>
      <c r="F411" s="329" t="s">
        <v>988</v>
      </c>
      <c r="H411" s="330">
        <v>47.15</v>
      </c>
      <c r="I411" s="331"/>
      <c r="L411" s="326"/>
      <c r="M411" s="332"/>
      <c r="T411" s="333"/>
      <c r="AT411" s="328" t="s">
        <v>617</v>
      </c>
      <c r="AU411" s="328" t="s">
        <v>266</v>
      </c>
      <c r="AV411" s="325" t="s">
        <v>266</v>
      </c>
      <c r="AW411" s="325" t="s">
        <v>531</v>
      </c>
      <c r="AX411" s="325" t="s">
        <v>301</v>
      </c>
      <c r="AY411" s="328" t="s">
        <v>608</v>
      </c>
    </row>
    <row r="412" spans="2:51" s="325" customFormat="1" ht="15">
      <c r="B412" s="326"/>
      <c r="D412" s="327" t="s">
        <v>617</v>
      </c>
      <c r="E412" s="328" t="s">
        <v>180</v>
      </c>
      <c r="F412" s="329" t="s">
        <v>989</v>
      </c>
      <c r="H412" s="330">
        <v>10.695</v>
      </c>
      <c r="I412" s="331"/>
      <c r="L412" s="326"/>
      <c r="M412" s="332"/>
      <c r="T412" s="333"/>
      <c r="AT412" s="328" t="s">
        <v>617</v>
      </c>
      <c r="AU412" s="328" t="s">
        <v>266</v>
      </c>
      <c r="AV412" s="325" t="s">
        <v>266</v>
      </c>
      <c r="AW412" s="325" t="s">
        <v>531</v>
      </c>
      <c r="AX412" s="325" t="s">
        <v>301</v>
      </c>
      <c r="AY412" s="328" t="s">
        <v>608</v>
      </c>
    </row>
    <row r="413" spans="2:51" s="325" customFormat="1" ht="15">
      <c r="B413" s="326"/>
      <c r="D413" s="327" t="s">
        <v>617</v>
      </c>
      <c r="E413" s="328" t="s">
        <v>180</v>
      </c>
      <c r="F413" s="329" t="s">
        <v>990</v>
      </c>
      <c r="H413" s="330">
        <v>0.27</v>
      </c>
      <c r="I413" s="331"/>
      <c r="L413" s="326"/>
      <c r="M413" s="332"/>
      <c r="T413" s="333"/>
      <c r="AT413" s="328" t="s">
        <v>617</v>
      </c>
      <c r="AU413" s="328" t="s">
        <v>266</v>
      </c>
      <c r="AV413" s="325" t="s">
        <v>266</v>
      </c>
      <c r="AW413" s="325" t="s">
        <v>531</v>
      </c>
      <c r="AX413" s="325" t="s">
        <v>301</v>
      </c>
      <c r="AY413" s="328" t="s">
        <v>608</v>
      </c>
    </row>
    <row r="414" spans="2:51" s="359" customFormat="1" ht="15">
      <c r="B414" s="360"/>
      <c r="D414" s="327" t="s">
        <v>617</v>
      </c>
      <c r="E414" s="361" t="s">
        <v>180</v>
      </c>
      <c r="F414" s="362" t="s">
        <v>991</v>
      </c>
      <c r="H414" s="363">
        <v>127.035</v>
      </c>
      <c r="I414" s="364"/>
      <c r="L414" s="360"/>
      <c r="M414" s="365"/>
      <c r="T414" s="366"/>
      <c r="AT414" s="361" t="s">
        <v>617</v>
      </c>
      <c r="AU414" s="361" t="s">
        <v>266</v>
      </c>
      <c r="AV414" s="359" t="s">
        <v>268</v>
      </c>
      <c r="AW414" s="359" t="s">
        <v>531</v>
      </c>
      <c r="AX414" s="359" t="s">
        <v>301</v>
      </c>
      <c r="AY414" s="361" t="s">
        <v>608</v>
      </c>
    </row>
    <row r="415" spans="2:51" s="342" customFormat="1" ht="15">
      <c r="B415" s="343"/>
      <c r="D415" s="327" t="s">
        <v>617</v>
      </c>
      <c r="E415" s="344" t="s">
        <v>180</v>
      </c>
      <c r="F415" s="345" t="s">
        <v>992</v>
      </c>
      <c r="H415" s="344" t="s">
        <v>180</v>
      </c>
      <c r="I415" s="346"/>
      <c r="L415" s="343"/>
      <c r="M415" s="347"/>
      <c r="T415" s="348"/>
      <c r="AT415" s="344" t="s">
        <v>617</v>
      </c>
      <c r="AU415" s="344" t="s">
        <v>266</v>
      </c>
      <c r="AV415" s="342" t="s">
        <v>260</v>
      </c>
      <c r="AW415" s="342" t="s">
        <v>531</v>
      </c>
      <c r="AX415" s="342" t="s">
        <v>301</v>
      </c>
      <c r="AY415" s="344" t="s">
        <v>608</v>
      </c>
    </row>
    <row r="416" spans="2:51" s="325" customFormat="1" ht="15">
      <c r="B416" s="326"/>
      <c r="D416" s="327" t="s">
        <v>617</v>
      </c>
      <c r="E416" s="328" t="s">
        <v>180</v>
      </c>
      <c r="F416" s="329" t="s">
        <v>993</v>
      </c>
      <c r="H416" s="330">
        <v>30</v>
      </c>
      <c r="I416" s="331"/>
      <c r="L416" s="326"/>
      <c r="M416" s="332"/>
      <c r="T416" s="333"/>
      <c r="AT416" s="328" t="s">
        <v>617</v>
      </c>
      <c r="AU416" s="328" t="s">
        <v>266</v>
      </c>
      <c r="AV416" s="325" t="s">
        <v>266</v>
      </c>
      <c r="AW416" s="325" t="s">
        <v>531</v>
      </c>
      <c r="AX416" s="325" t="s">
        <v>301</v>
      </c>
      <c r="AY416" s="328" t="s">
        <v>608</v>
      </c>
    </row>
    <row r="417" spans="2:51" s="325" customFormat="1" ht="15">
      <c r="B417" s="326"/>
      <c r="D417" s="327" t="s">
        <v>617</v>
      </c>
      <c r="E417" s="328" t="s">
        <v>180</v>
      </c>
      <c r="F417" s="329" t="s">
        <v>994</v>
      </c>
      <c r="H417" s="330">
        <v>7.2</v>
      </c>
      <c r="I417" s="331"/>
      <c r="L417" s="326"/>
      <c r="M417" s="332"/>
      <c r="T417" s="333"/>
      <c r="AT417" s="328" t="s">
        <v>617</v>
      </c>
      <c r="AU417" s="328" t="s">
        <v>266</v>
      </c>
      <c r="AV417" s="325" t="s">
        <v>266</v>
      </c>
      <c r="AW417" s="325" t="s">
        <v>531</v>
      </c>
      <c r="AX417" s="325" t="s">
        <v>301</v>
      </c>
      <c r="AY417" s="328" t="s">
        <v>608</v>
      </c>
    </row>
    <row r="418" spans="2:51" s="325" customFormat="1" ht="15">
      <c r="B418" s="326"/>
      <c r="D418" s="327" t="s">
        <v>617</v>
      </c>
      <c r="E418" s="328" t="s">
        <v>180</v>
      </c>
      <c r="F418" s="329" t="s">
        <v>995</v>
      </c>
      <c r="H418" s="330">
        <v>30</v>
      </c>
      <c r="I418" s="331"/>
      <c r="L418" s="326"/>
      <c r="M418" s="332"/>
      <c r="T418" s="333"/>
      <c r="AT418" s="328" t="s">
        <v>617</v>
      </c>
      <c r="AU418" s="328" t="s">
        <v>266</v>
      </c>
      <c r="AV418" s="325" t="s">
        <v>266</v>
      </c>
      <c r="AW418" s="325" t="s">
        <v>531</v>
      </c>
      <c r="AX418" s="325" t="s">
        <v>301</v>
      </c>
      <c r="AY418" s="328" t="s">
        <v>608</v>
      </c>
    </row>
    <row r="419" spans="2:51" s="325" customFormat="1" ht="15">
      <c r="B419" s="326"/>
      <c r="D419" s="327" t="s">
        <v>617</v>
      </c>
      <c r="E419" s="328" t="s">
        <v>180</v>
      </c>
      <c r="F419" s="329" t="s">
        <v>996</v>
      </c>
      <c r="H419" s="330">
        <v>90</v>
      </c>
      <c r="I419" s="331"/>
      <c r="L419" s="326"/>
      <c r="M419" s="332"/>
      <c r="T419" s="333"/>
      <c r="AT419" s="328" t="s">
        <v>617</v>
      </c>
      <c r="AU419" s="328" t="s">
        <v>266</v>
      </c>
      <c r="AV419" s="325" t="s">
        <v>266</v>
      </c>
      <c r="AW419" s="325" t="s">
        <v>531</v>
      </c>
      <c r="AX419" s="325" t="s">
        <v>301</v>
      </c>
      <c r="AY419" s="328" t="s">
        <v>608</v>
      </c>
    </row>
    <row r="420" spans="2:51" s="325" customFormat="1" ht="15">
      <c r="B420" s="326"/>
      <c r="D420" s="327" t="s">
        <v>617</v>
      </c>
      <c r="E420" s="328" t="s">
        <v>180</v>
      </c>
      <c r="F420" s="329" t="s">
        <v>997</v>
      </c>
      <c r="H420" s="330">
        <v>156.8</v>
      </c>
      <c r="I420" s="331"/>
      <c r="L420" s="326"/>
      <c r="M420" s="332"/>
      <c r="T420" s="333"/>
      <c r="AT420" s="328" t="s">
        <v>617</v>
      </c>
      <c r="AU420" s="328" t="s">
        <v>266</v>
      </c>
      <c r="AV420" s="325" t="s">
        <v>266</v>
      </c>
      <c r="AW420" s="325" t="s">
        <v>531</v>
      </c>
      <c r="AX420" s="325" t="s">
        <v>301</v>
      </c>
      <c r="AY420" s="328" t="s">
        <v>608</v>
      </c>
    </row>
    <row r="421" spans="2:51" s="325" customFormat="1" ht="15">
      <c r="B421" s="326"/>
      <c r="D421" s="327" t="s">
        <v>617</v>
      </c>
      <c r="E421" s="328" t="s">
        <v>180</v>
      </c>
      <c r="F421" s="329" t="s">
        <v>998</v>
      </c>
      <c r="H421" s="330">
        <v>582.3</v>
      </c>
      <c r="I421" s="331"/>
      <c r="L421" s="326"/>
      <c r="M421" s="332"/>
      <c r="T421" s="333"/>
      <c r="AT421" s="328" t="s">
        <v>617</v>
      </c>
      <c r="AU421" s="328" t="s">
        <v>266</v>
      </c>
      <c r="AV421" s="325" t="s">
        <v>266</v>
      </c>
      <c r="AW421" s="325" t="s">
        <v>531</v>
      </c>
      <c r="AX421" s="325" t="s">
        <v>301</v>
      </c>
      <c r="AY421" s="328" t="s">
        <v>608</v>
      </c>
    </row>
    <row r="422" spans="2:51" s="325" customFormat="1" ht="15">
      <c r="B422" s="326"/>
      <c r="D422" s="327" t="s">
        <v>617</v>
      </c>
      <c r="E422" s="328" t="s">
        <v>180</v>
      </c>
      <c r="F422" s="329" t="s">
        <v>999</v>
      </c>
      <c r="H422" s="330">
        <v>6.8</v>
      </c>
      <c r="I422" s="331"/>
      <c r="L422" s="326"/>
      <c r="M422" s="332"/>
      <c r="T422" s="333"/>
      <c r="AT422" s="328" t="s">
        <v>617</v>
      </c>
      <c r="AU422" s="328" t="s">
        <v>266</v>
      </c>
      <c r="AV422" s="325" t="s">
        <v>266</v>
      </c>
      <c r="AW422" s="325" t="s">
        <v>531</v>
      </c>
      <c r="AX422" s="325" t="s">
        <v>301</v>
      </c>
      <c r="AY422" s="328" t="s">
        <v>608</v>
      </c>
    </row>
    <row r="423" spans="2:51" s="359" customFormat="1" ht="15">
      <c r="B423" s="360"/>
      <c r="D423" s="327" t="s">
        <v>617</v>
      </c>
      <c r="E423" s="361" t="s">
        <v>180</v>
      </c>
      <c r="F423" s="362" t="s">
        <v>991</v>
      </c>
      <c r="H423" s="363">
        <v>903.1</v>
      </c>
      <c r="I423" s="364"/>
      <c r="L423" s="360"/>
      <c r="M423" s="365"/>
      <c r="T423" s="366"/>
      <c r="AT423" s="361" t="s">
        <v>617</v>
      </c>
      <c r="AU423" s="361" t="s">
        <v>266</v>
      </c>
      <c r="AV423" s="359" t="s">
        <v>268</v>
      </c>
      <c r="AW423" s="359" t="s">
        <v>531</v>
      </c>
      <c r="AX423" s="359" t="s">
        <v>301</v>
      </c>
      <c r="AY423" s="361" t="s">
        <v>608</v>
      </c>
    </row>
    <row r="424" spans="2:51" s="342" customFormat="1" ht="15">
      <c r="B424" s="343"/>
      <c r="D424" s="327" t="s">
        <v>617</v>
      </c>
      <c r="E424" s="344" t="s">
        <v>180</v>
      </c>
      <c r="F424" s="345" t="s">
        <v>1000</v>
      </c>
      <c r="H424" s="344" t="s">
        <v>180</v>
      </c>
      <c r="I424" s="346"/>
      <c r="L424" s="343"/>
      <c r="M424" s="347"/>
      <c r="T424" s="348"/>
      <c r="AT424" s="344" t="s">
        <v>617</v>
      </c>
      <c r="AU424" s="344" t="s">
        <v>266</v>
      </c>
      <c r="AV424" s="342" t="s">
        <v>260</v>
      </c>
      <c r="AW424" s="342" t="s">
        <v>531</v>
      </c>
      <c r="AX424" s="342" t="s">
        <v>301</v>
      </c>
      <c r="AY424" s="344" t="s">
        <v>608</v>
      </c>
    </row>
    <row r="425" spans="2:51" s="325" customFormat="1" ht="15">
      <c r="B425" s="326"/>
      <c r="D425" s="327" t="s">
        <v>617</v>
      </c>
      <c r="E425" s="328" t="s">
        <v>180</v>
      </c>
      <c r="F425" s="329" t="s">
        <v>1001</v>
      </c>
      <c r="H425" s="330">
        <v>2.88</v>
      </c>
      <c r="I425" s="331"/>
      <c r="L425" s="326"/>
      <c r="M425" s="332"/>
      <c r="T425" s="333"/>
      <c r="AT425" s="328" t="s">
        <v>617</v>
      </c>
      <c r="AU425" s="328" t="s">
        <v>266</v>
      </c>
      <c r="AV425" s="325" t="s">
        <v>266</v>
      </c>
      <c r="AW425" s="325" t="s">
        <v>531</v>
      </c>
      <c r="AX425" s="325" t="s">
        <v>301</v>
      </c>
      <c r="AY425" s="328" t="s">
        <v>608</v>
      </c>
    </row>
    <row r="426" spans="2:51" s="325" customFormat="1" ht="15">
      <c r="B426" s="326"/>
      <c r="D426" s="327" t="s">
        <v>617</v>
      </c>
      <c r="E426" s="328" t="s">
        <v>180</v>
      </c>
      <c r="F426" s="329" t="s">
        <v>1002</v>
      </c>
      <c r="H426" s="330">
        <v>13.44</v>
      </c>
      <c r="I426" s="331"/>
      <c r="L426" s="326"/>
      <c r="M426" s="332"/>
      <c r="T426" s="333"/>
      <c r="AT426" s="328" t="s">
        <v>617</v>
      </c>
      <c r="AU426" s="328" t="s">
        <v>266</v>
      </c>
      <c r="AV426" s="325" t="s">
        <v>266</v>
      </c>
      <c r="AW426" s="325" t="s">
        <v>531</v>
      </c>
      <c r="AX426" s="325" t="s">
        <v>301</v>
      </c>
      <c r="AY426" s="328" t="s">
        <v>608</v>
      </c>
    </row>
    <row r="427" spans="2:51" s="325" customFormat="1" ht="15">
      <c r="B427" s="326"/>
      <c r="D427" s="327" t="s">
        <v>617</v>
      </c>
      <c r="E427" s="328" t="s">
        <v>180</v>
      </c>
      <c r="F427" s="329" t="s">
        <v>1003</v>
      </c>
      <c r="H427" s="330">
        <v>159.6</v>
      </c>
      <c r="I427" s="331"/>
      <c r="L427" s="326"/>
      <c r="M427" s="332"/>
      <c r="T427" s="333"/>
      <c r="AT427" s="328" t="s">
        <v>617</v>
      </c>
      <c r="AU427" s="328" t="s">
        <v>266</v>
      </c>
      <c r="AV427" s="325" t="s">
        <v>266</v>
      </c>
      <c r="AW427" s="325" t="s">
        <v>531</v>
      </c>
      <c r="AX427" s="325" t="s">
        <v>301</v>
      </c>
      <c r="AY427" s="328" t="s">
        <v>608</v>
      </c>
    </row>
    <row r="428" spans="2:51" s="359" customFormat="1" ht="15">
      <c r="B428" s="360"/>
      <c r="D428" s="327" t="s">
        <v>617</v>
      </c>
      <c r="E428" s="361" t="s">
        <v>180</v>
      </c>
      <c r="F428" s="362" t="s">
        <v>991</v>
      </c>
      <c r="H428" s="363">
        <v>175.92</v>
      </c>
      <c r="I428" s="364"/>
      <c r="L428" s="360"/>
      <c r="M428" s="365"/>
      <c r="T428" s="366"/>
      <c r="AT428" s="361" t="s">
        <v>617</v>
      </c>
      <c r="AU428" s="361" t="s">
        <v>266</v>
      </c>
      <c r="AV428" s="359" t="s">
        <v>268</v>
      </c>
      <c r="AW428" s="359" t="s">
        <v>531</v>
      </c>
      <c r="AX428" s="359" t="s">
        <v>301</v>
      </c>
      <c r="AY428" s="361" t="s">
        <v>608</v>
      </c>
    </row>
    <row r="429" spans="2:51" s="334" customFormat="1" ht="15">
      <c r="B429" s="335"/>
      <c r="D429" s="327" t="s">
        <v>617</v>
      </c>
      <c r="E429" s="336" t="s">
        <v>180</v>
      </c>
      <c r="F429" s="337" t="s">
        <v>645</v>
      </c>
      <c r="H429" s="338">
        <v>1206.055</v>
      </c>
      <c r="I429" s="339"/>
      <c r="L429" s="335"/>
      <c r="M429" s="340"/>
      <c r="T429" s="341"/>
      <c r="AT429" s="336" t="s">
        <v>617</v>
      </c>
      <c r="AU429" s="336" t="s">
        <v>266</v>
      </c>
      <c r="AV429" s="334" t="s">
        <v>269</v>
      </c>
      <c r="AW429" s="334" t="s">
        <v>531</v>
      </c>
      <c r="AX429" s="334" t="s">
        <v>260</v>
      </c>
      <c r="AY429" s="336" t="s">
        <v>608</v>
      </c>
    </row>
    <row r="430" spans="2:65" s="200" customFormat="1" ht="16.5" customHeight="1">
      <c r="B430" s="201"/>
      <c r="C430" s="309" t="s">
        <v>391</v>
      </c>
      <c r="D430" s="309" t="s">
        <v>610</v>
      </c>
      <c r="E430" s="310" t="s">
        <v>1004</v>
      </c>
      <c r="F430" s="311" t="s">
        <v>1299</v>
      </c>
      <c r="G430" s="312" t="s">
        <v>43</v>
      </c>
      <c r="H430" s="313">
        <v>28945.32</v>
      </c>
      <c r="I430" s="314"/>
      <c r="J430" s="315">
        <f>ROUND(I430*H430,2)</f>
        <v>0</v>
      </c>
      <c r="K430" s="311" t="s">
        <v>613</v>
      </c>
      <c r="L430" s="201"/>
      <c r="M430" s="316" t="s">
        <v>180</v>
      </c>
      <c r="N430" s="317" t="s">
        <v>539</v>
      </c>
      <c r="P430" s="318">
        <f>O430*H430</f>
        <v>0</v>
      </c>
      <c r="Q430" s="318">
        <v>0</v>
      </c>
      <c r="R430" s="318">
        <f>Q430*H430</f>
        <v>0</v>
      </c>
      <c r="S430" s="318">
        <v>0</v>
      </c>
      <c r="T430" s="319">
        <f>S430*H430</f>
        <v>0</v>
      </c>
      <c r="AR430" s="320" t="s">
        <v>269</v>
      </c>
      <c r="AT430" s="320" t="s">
        <v>610</v>
      </c>
      <c r="AU430" s="320" t="s">
        <v>266</v>
      </c>
      <c r="AY430" s="185" t="s">
        <v>608</v>
      </c>
      <c r="BE430" s="321">
        <f>IF(N430="základní",J430,0)</f>
        <v>0</v>
      </c>
      <c r="BF430" s="321">
        <f>IF(N430="snížená",J430,0)</f>
        <v>0</v>
      </c>
      <c r="BG430" s="321">
        <f>IF(N430="zákl. přenesená",J430,0)</f>
        <v>0</v>
      </c>
      <c r="BH430" s="321">
        <f>IF(N430="sníž. přenesená",J430,0)</f>
        <v>0</v>
      </c>
      <c r="BI430" s="321">
        <f>IF(N430="nulová",J430,0)</f>
        <v>0</v>
      </c>
      <c r="BJ430" s="185" t="s">
        <v>260</v>
      </c>
      <c r="BK430" s="321">
        <f>ROUND(I430*H430,2)</f>
        <v>0</v>
      </c>
      <c r="BL430" s="185" t="s">
        <v>269</v>
      </c>
      <c r="BM430" s="320" t="s">
        <v>1006</v>
      </c>
    </row>
    <row r="431" spans="2:47" s="200" customFormat="1" ht="19.5">
      <c r="B431" s="201"/>
      <c r="D431" s="327" t="s">
        <v>1247</v>
      </c>
      <c r="F431" s="460" t="s">
        <v>1005</v>
      </c>
      <c r="I431" s="323"/>
      <c r="L431" s="201"/>
      <c r="M431" s="324"/>
      <c r="T431" s="225"/>
      <c r="AT431" s="185" t="s">
        <v>1247</v>
      </c>
      <c r="AU431" s="185" t="s">
        <v>266</v>
      </c>
    </row>
    <row r="432" spans="2:47" s="200" customFormat="1" ht="15">
      <c r="B432" s="201"/>
      <c r="D432" s="322" t="s">
        <v>615</v>
      </c>
      <c r="F432" s="397" t="s">
        <v>1007</v>
      </c>
      <c r="I432" s="323"/>
      <c r="L432" s="201"/>
      <c r="M432" s="324"/>
      <c r="T432" s="225"/>
      <c r="AT432" s="185" t="s">
        <v>615</v>
      </c>
      <c r="AU432" s="185" t="s">
        <v>266</v>
      </c>
    </row>
    <row r="433" spans="2:51" s="342" customFormat="1" ht="15">
      <c r="B433" s="343"/>
      <c r="D433" s="327" t="s">
        <v>617</v>
      </c>
      <c r="E433" s="344" t="s">
        <v>180</v>
      </c>
      <c r="F433" s="345" t="s">
        <v>706</v>
      </c>
      <c r="H433" s="344" t="s">
        <v>180</v>
      </c>
      <c r="I433" s="346"/>
      <c r="L433" s="343"/>
      <c r="M433" s="347"/>
      <c r="T433" s="348"/>
      <c r="AT433" s="344" t="s">
        <v>617</v>
      </c>
      <c r="AU433" s="344" t="s">
        <v>266</v>
      </c>
      <c r="AV433" s="342" t="s">
        <v>260</v>
      </c>
      <c r="AW433" s="342" t="s">
        <v>531</v>
      </c>
      <c r="AX433" s="342" t="s">
        <v>301</v>
      </c>
      <c r="AY433" s="344" t="s">
        <v>608</v>
      </c>
    </row>
    <row r="434" spans="2:51" s="325" customFormat="1" ht="15">
      <c r="B434" s="326"/>
      <c r="D434" s="327" t="s">
        <v>617</v>
      </c>
      <c r="E434" s="328" t="s">
        <v>180</v>
      </c>
      <c r="F434" s="329" t="s">
        <v>1008</v>
      </c>
      <c r="H434" s="330">
        <v>28945.32</v>
      </c>
      <c r="I434" s="331"/>
      <c r="L434" s="326"/>
      <c r="M434" s="332"/>
      <c r="T434" s="333"/>
      <c r="AT434" s="328" t="s">
        <v>617</v>
      </c>
      <c r="AU434" s="328" t="s">
        <v>266</v>
      </c>
      <c r="AV434" s="325" t="s">
        <v>266</v>
      </c>
      <c r="AW434" s="325" t="s">
        <v>531</v>
      </c>
      <c r="AX434" s="325" t="s">
        <v>260</v>
      </c>
      <c r="AY434" s="328" t="s">
        <v>608</v>
      </c>
    </row>
    <row r="435" spans="2:63" s="296" customFormat="1" ht="22.9" customHeight="1">
      <c r="B435" s="297"/>
      <c r="D435" s="298" t="s">
        <v>565</v>
      </c>
      <c r="E435" s="307" t="s">
        <v>1009</v>
      </c>
      <c r="F435" s="307" t="s">
        <v>504</v>
      </c>
      <c r="I435" s="300"/>
      <c r="J435" s="308">
        <f>BK435</f>
        <v>0</v>
      </c>
      <c r="L435" s="297"/>
      <c r="M435" s="302"/>
      <c r="P435" s="303">
        <f>SUM(P436:P438)</f>
        <v>0</v>
      </c>
      <c r="R435" s="303">
        <f>SUM(R436:R438)</f>
        <v>0</v>
      </c>
      <c r="T435" s="304">
        <f>SUM(T436:T438)</f>
        <v>0</v>
      </c>
      <c r="AR435" s="298" t="s">
        <v>260</v>
      </c>
      <c r="AT435" s="305" t="s">
        <v>565</v>
      </c>
      <c r="AU435" s="305" t="s">
        <v>260</v>
      </c>
      <c r="AY435" s="298" t="s">
        <v>608</v>
      </c>
      <c r="BK435" s="306">
        <f>SUM(BK436:BK438)</f>
        <v>0</v>
      </c>
    </row>
    <row r="436" spans="2:65" s="200" customFormat="1" ht="16.5" customHeight="1">
      <c r="B436" s="201"/>
      <c r="C436" s="309" t="s">
        <v>392</v>
      </c>
      <c r="D436" s="309" t="s">
        <v>610</v>
      </c>
      <c r="E436" s="310" t="s">
        <v>1010</v>
      </c>
      <c r="F436" s="311" t="s">
        <v>1300</v>
      </c>
      <c r="G436" s="312" t="s">
        <v>43</v>
      </c>
      <c r="H436" s="313">
        <v>513.918</v>
      </c>
      <c r="I436" s="314"/>
      <c r="J436" s="315">
        <f>ROUND(I436*H436,2)</f>
        <v>0</v>
      </c>
      <c r="K436" s="311" t="s">
        <v>613</v>
      </c>
      <c r="L436" s="201"/>
      <c r="M436" s="316" t="s">
        <v>180</v>
      </c>
      <c r="N436" s="317" t="s">
        <v>539</v>
      </c>
      <c r="P436" s="318">
        <f>O436*H436</f>
        <v>0</v>
      </c>
      <c r="Q436" s="318">
        <v>0</v>
      </c>
      <c r="R436" s="318">
        <f>Q436*H436</f>
        <v>0</v>
      </c>
      <c r="S436" s="318">
        <v>0</v>
      </c>
      <c r="T436" s="319">
        <f>S436*H436</f>
        <v>0</v>
      </c>
      <c r="AR436" s="320" t="s">
        <v>269</v>
      </c>
      <c r="AT436" s="320" t="s">
        <v>610</v>
      </c>
      <c r="AU436" s="320" t="s">
        <v>266</v>
      </c>
      <c r="AY436" s="185" t="s">
        <v>608</v>
      </c>
      <c r="BE436" s="321">
        <f>IF(N436="základní",J436,0)</f>
        <v>0</v>
      </c>
      <c r="BF436" s="321">
        <f>IF(N436="snížená",J436,0)</f>
        <v>0</v>
      </c>
      <c r="BG436" s="321">
        <f>IF(N436="zákl. přenesená",J436,0)</f>
        <v>0</v>
      </c>
      <c r="BH436" s="321">
        <f>IF(N436="sníž. přenesená",J436,0)</f>
        <v>0</v>
      </c>
      <c r="BI436" s="321">
        <f>IF(N436="nulová",J436,0)</f>
        <v>0</v>
      </c>
      <c r="BJ436" s="185" t="s">
        <v>260</v>
      </c>
      <c r="BK436" s="321">
        <f>ROUND(I436*H436,2)</f>
        <v>0</v>
      </c>
      <c r="BL436" s="185" t="s">
        <v>269</v>
      </c>
      <c r="BM436" s="320" t="s">
        <v>1012</v>
      </c>
    </row>
    <row r="437" spans="2:47" s="200" customFormat="1" ht="15">
      <c r="B437" s="201"/>
      <c r="D437" s="327" t="s">
        <v>1247</v>
      </c>
      <c r="F437" s="460" t="s">
        <v>1011</v>
      </c>
      <c r="I437" s="323"/>
      <c r="L437" s="201"/>
      <c r="M437" s="324"/>
      <c r="T437" s="225"/>
      <c r="AT437" s="185" t="s">
        <v>1247</v>
      </c>
      <c r="AU437" s="185" t="s">
        <v>266</v>
      </c>
    </row>
    <row r="438" spans="2:47" s="200" customFormat="1" ht="15">
      <c r="B438" s="201"/>
      <c r="D438" s="322" t="s">
        <v>615</v>
      </c>
      <c r="F438" s="397" t="s">
        <v>1013</v>
      </c>
      <c r="I438" s="323"/>
      <c r="L438" s="201"/>
      <c r="M438" s="367"/>
      <c r="N438" s="368"/>
      <c r="O438" s="368"/>
      <c r="P438" s="368"/>
      <c r="Q438" s="368"/>
      <c r="R438" s="368"/>
      <c r="S438" s="368"/>
      <c r="T438" s="369"/>
      <c r="AT438" s="185" t="s">
        <v>615</v>
      </c>
      <c r="AU438" s="185" t="s">
        <v>266</v>
      </c>
    </row>
    <row r="439" spans="2:12" s="200" customFormat="1" ht="6.95" customHeight="1">
      <c r="B439" s="211"/>
      <c r="C439" s="212"/>
      <c r="D439" s="212"/>
      <c r="E439" s="212"/>
      <c r="F439" s="212"/>
      <c r="G439" s="212"/>
      <c r="H439" s="212"/>
      <c r="I439" s="212"/>
      <c r="J439" s="212"/>
      <c r="K439" s="212"/>
      <c r="L439" s="201"/>
    </row>
  </sheetData>
  <sheetProtection algorithmName="SHA-512" hashValue="XqaQP2FKjXANAC92MMR5oldPBlp5UAVb2+it0yzP4ut0MVHQ8FTJ/Bhxq5fS4Ont6vIjN/4HvQTCOE5sw3IpXw==" saltValue="kOYvHQefPmgMzmdUiPmczsnY6Z32ktZU+LyJx5GtFRqRed8kLio+fQlIX3sDyns1O4Q5nzJvNRWGZ0g6Wq2ceA==" spinCount="100000" sheet="1" objects="1" scenarios="1" formatColumns="0" formatRows="0" autoFilter="0"/>
  <autoFilter ref="C92:K438"/>
  <mergeCells count="12">
    <mergeCell ref="E85:H85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</mergeCells>
  <hyperlinks>
    <hyperlink ref="F98" r:id="rId1" display="https://podminky.urs.cz/item/CS_URS_2023_02/113106123"/>
    <hyperlink ref="F102" r:id="rId2" display="https://podminky.urs.cz/item/CS_URS_2023_02/113106161"/>
    <hyperlink ref="F106" r:id="rId3" display="https://podminky.urs.cz/item/CS_URS_2023_02/113107123"/>
    <hyperlink ref="F110" r:id="rId4" display="https://podminky.urs.cz/item/CS_URS_2023_02/113107142"/>
    <hyperlink ref="F114" r:id="rId5" display="https://podminky.urs.cz/item/CS_URS_2023_02/113107162"/>
    <hyperlink ref="F118" r:id="rId6" display="https://podminky.urs.cz/item/CS_URS_2023_02/113107223"/>
    <hyperlink ref="F124" r:id="rId7" display="https://podminky.urs.cz/item/CS_URS_2023_02/113107225"/>
    <hyperlink ref="F128" r:id="rId8" display="https://podminky.urs.cz/item/CS_URS_2023_02/113107230"/>
    <hyperlink ref="F132" r:id="rId9" display="https://podminky.urs.cz/item/CS_URS_2023_02/113107241"/>
    <hyperlink ref="F136" r:id="rId10" display="https://podminky.urs.cz/item/CS_URS_2023_02/113107324"/>
    <hyperlink ref="F140" r:id="rId11" display="https://podminky.urs.cz/item/CS_URS_2023_02/113154224"/>
    <hyperlink ref="F144" r:id="rId12" display="https://podminky.urs.cz/item/CS_URS_2023_02/113154234"/>
    <hyperlink ref="F148" r:id="rId13" display="https://podminky.urs.cz/item/CS_URS_2023_02/113202111"/>
    <hyperlink ref="F152" r:id="rId14" display="https://podminky.urs.cz/item/CS_URS_2023_02/113203111"/>
    <hyperlink ref="F156" r:id="rId15" display="https://podminky.urs.cz/item/CS_URS_2023_02/122251104"/>
    <hyperlink ref="F162" r:id="rId16" display="https://podminky.urs.cz/item/CS_URS_2023_02/131251100"/>
    <hyperlink ref="F166" r:id="rId17" display="https://podminky.urs.cz/item/CS_URS_2023_02/132251101"/>
    <hyperlink ref="F170" r:id="rId18" display="https://podminky.urs.cz/item/CS_URS_2023_02/162751117"/>
    <hyperlink ref="F175" r:id="rId19" display="https://podminky.urs.cz/item/CS_URS_2023_02/162751119"/>
    <hyperlink ref="F180" r:id="rId20" display="https://podminky.urs.cz/item/CS_URS_2023_02/171201231"/>
    <hyperlink ref="F184" r:id="rId21" display="https://podminky.urs.cz/item/CS_URS_2023_02/171251201"/>
    <hyperlink ref="F188" r:id="rId22" display="https://podminky.urs.cz/item/CS_URS_2023_02/174151101"/>
    <hyperlink ref="F195" r:id="rId23" display="https://podminky.urs.cz/item/CS_URS_2023_02/181951112"/>
    <hyperlink ref="F200" r:id="rId24" display="https://podminky.urs.cz/item/CS_URS_2023_02/211561111"/>
    <hyperlink ref="F204" r:id="rId25" display="https://podminky.urs.cz/item/CS_URS_2023_02/211971121"/>
    <hyperlink ref="F217" r:id="rId26" display="https://podminky.urs.cz/item/CS_URS_2023_02/212752401"/>
    <hyperlink ref="F221" r:id="rId27" display="https://podminky.urs.cz/item/CS_URS_2023_02/213141112"/>
    <hyperlink ref="F226" r:id="rId28" display="https://podminky.urs.cz/item/CS_URS_2023_02/564851111"/>
    <hyperlink ref="F230" r:id="rId29" display="https://podminky.urs.cz/item/CS_URS_2023_02/564861111"/>
    <hyperlink ref="F234" r:id="rId30" display="https://podminky.urs.cz/item/CS_URS_2023_02/564871116"/>
    <hyperlink ref="F238" r:id="rId31" display="https://podminky.urs.cz/item/CS_URS_2023_02/567132115"/>
    <hyperlink ref="F242" r:id="rId32" display="https://podminky.urs.cz/item/CS_URS_2023_02/567142111"/>
    <hyperlink ref="F246" r:id="rId33" display="https://podminky.urs.cz/item/CS_URS_2023_02/573231106"/>
    <hyperlink ref="F250" r:id="rId34" display="https://podminky.urs.cz/item/CS_URS_2023_02/573231108"/>
    <hyperlink ref="F260" r:id="rId35" display="https://podminky.urs.cz/item/CS_URS_2023_02/591211111.1"/>
    <hyperlink ref="F268" r:id="rId36" display="https://podminky.urs.cz/item/CS_URS_2023_02/591211111.2"/>
    <hyperlink ref="F292" r:id="rId37" display="https://podminky.urs.cz/item/CS_URS_2023_02/899203211"/>
    <hyperlink ref="F296" r:id="rId38" display="https://podminky.urs.cz/item/CS_URS_2023_02/899204112"/>
    <hyperlink ref="F309" r:id="rId39" display="https://podminky.urs.cz/item/CS_URS_2023_02/914111111"/>
    <hyperlink ref="F322" r:id="rId40" display="https://podminky.urs.cz/item/CS_URS_2023_02/914111121"/>
    <hyperlink ref="F330" r:id="rId41" display="https://podminky.urs.cz/item/CS_URS_2023_02/914511112"/>
    <hyperlink ref="F342" r:id="rId42" display="https://podminky.urs.cz/item/CS_URS_2023_02/915211112"/>
    <hyperlink ref="F346" r:id="rId43" display="https://podminky.urs.cz/item/CS_URS_2023_02/915231112"/>
    <hyperlink ref="F350" r:id="rId44" display="https://podminky.urs.cz/item/CS_URS_2023_02/915611111"/>
    <hyperlink ref="F353" r:id="rId45" display="https://podminky.urs.cz/item/CS_URS_2023_02/915621111"/>
    <hyperlink ref="F356" r:id="rId46" display="https://podminky.urs.cz/item/CS_URS_2023_02/916241213"/>
    <hyperlink ref="F376" r:id="rId47" display="https://podminky.urs.cz/item/CS_URS_2023_02/919732211"/>
    <hyperlink ref="F380" r:id="rId48" display="https://podminky.urs.cz/item/CS_URS_2023_02/919735112"/>
    <hyperlink ref="F384" r:id="rId49" display="https://podminky.urs.cz/item/CS_URS_2023_02/966006132"/>
    <hyperlink ref="F388" r:id="rId50" display="https://podminky.urs.cz/item/CS_URS_2023_02/966006211"/>
    <hyperlink ref="F393" r:id="rId51" display="https://podminky.urs.cz/item/CS_URS_2023_02/997013861"/>
    <hyperlink ref="F397" r:id="rId52" display="https://podminky.urs.cz/item/CS_URS_2023_02/997013873"/>
    <hyperlink ref="F401" r:id="rId53" display="https://podminky.urs.cz/item/CS_URS_2023_02/997013875"/>
    <hyperlink ref="F405" r:id="rId54" display="https://podminky.urs.cz/item/CS_URS_2023_02/997211511"/>
    <hyperlink ref="F432" r:id="rId55" display="https://podminky.urs.cz/item/CS_URS_2023_02/997211519"/>
    <hyperlink ref="F438" r:id="rId56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2544-FA41-4171-8D00-AE84C18220B4}">
  <sheetPr>
    <pageSetUpPr fitToPage="1"/>
  </sheetPr>
  <dimension ref="B2:BM120"/>
  <sheetViews>
    <sheetView showGridLines="0" workbookViewId="0" topLeftCell="A41"/>
  </sheetViews>
  <sheetFormatPr defaultColWidth="9.140625" defaultRowHeight="15"/>
  <cols>
    <col min="1" max="1" width="7.140625" style="184" customWidth="1"/>
    <col min="2" max="2" width="0.9921875" style="184" customWidth="1"/>
    <col min="3" max="3" width="3.57421875" style="184" customWidth="1"/>
    <col min="4" max="4" width="3.7109375" style="184" customWidth="1"/>
    <col min="5" max="5" width="14.7109375" style="184" customWidth="1"/>
    <col min="6" max="6" width="86.421875" style="184" customWidth="1"/>
    <col min="7" max="7" width="6.421875" style="184" customWidth="1"/>
    <col min="8" max="8" width="12.00390625" style="184" customWidth="1"/>
    <col min="9" max="9" width="13.57421875" style="184" customWidth="1"/>
    <col min="10" max="11" width="19.140625" style="184" customWidth="1"/>
    <col min="12" max="12" width="8.00390625" style="184" customWidth="1"/>
    <col min="13" max="13" width="9.28125" style="184" hidden="1" customWidth="1"/>
    <col min="14" max="14" width="9.140625" style="184" customWidth="1"/>
    <col min="15" max="20" width="12.140625" style="184" hidden="1" customWidth="1"/>
    <col min="21" max="21" width="14.00390625" style="184" hidden="1" customWidth="1"/>
    <col min="22" max="22" width="10.57421875" style="184" customWidth="1"/>
    <col min="23" max="23" width="14.00390625" style="184" customWidth="1"/>
    <col min="24" max="24" width="10.57421875" style="184" customWidth="1"/>
    <col min="25" max="25" width="12.8515625" style="184" customWidth="1"/>
    <col min="26" max="26" width="9.421875" style="184" customWidth="1"/>
    <col min="27" max="27" width="12.8515625" style="184" customWidth="1"/>
    <col min="28" max="28" width="14.00390625" style="184" customWidth="1"/>
    <col min="29" max="29" width="9.421875" style="184" customWidth="1"/>
    <col min="30" max="30" width="12.8515625" style="184" customWidth="1"/>
    <col min="31" max="31" width="14.00390625" style="184" customWidth="1"/>
    <col min="32" max="16384" width="9.140625" style="184" customWidth="1"/>
  </cols>
  <sheetData>
    <row r="1" ht="12"/>
    <row r="2" spans="12:46" ht="36.95" customHeight="1"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AT2" s="185" t="s">
        <v>579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8"/>
      <c r="AT3" s="185" t="s">
        <v>266</v>
      </c>
    </row>
    <row r="4" spans="2:46" ht="24.95" customHeight="1">
      <c r="B4" s="188"/>
      <c r="D4" s="189" t="s">
        <v>580</v>
      </c>
      <c r="L4" s="188"/>
      <c r="M4" s="264" t="s">
        <v>515</v>
      </c>
      <c r="AT4" s="185" t="s">
        <v>511</v>
      </c>
    </row>
    <row r="5" spans="2:12" ht="6.95" customHeight="1">
      <c r="B5" s="188"/>
      <c r="L5" s="188"/>
    </row>
    <row r="6" spans="2:12" ht="12" customHeight="1">
      <c r="B6" s="188"/>
      <c r="D6" s="195" t="s">
        <v>521</v>
      </c>
      <c r="L6" s="188"/>
    </row>
    <row r="7" spans="2:12" ht="16.5" customHeight="1">
      <c r="B7" s="188"/>
      <c r="E7" s="625" t="str">
        <f>'[5]Rekapitulace stavby'!K6</f>
        <v>Karlovy Vary, Sady Karla IV – revitalizace veřejného prostranství</v>
      </c>
      <c r="F7" s="626"/>
      <c r="G7" s="626"/>
      <c r="H7" s="626"/>
      <c r="L7" s="188"/>
    </row>
    <row r="8" spans="2:12" ht="12" customHeight="1">
      <c r="B8" s="188"/>
      <c r="D8" s="195" t="s">
        <v>581</v>
      </c>
      <c r="L8" s="188"/>
    </row>
    <row r="9" spans="2:12" s="200" customFormat="1" ht="16.5" customHeight="1">
      <c r="B9" s="201"/>
      <c r="E9" s="625" t="s">
        <v>1014</v>
      </c>
      <c r="F9" s="624"/>
      <c r="G9" s="624"/>
      <c r="H9" s="624"/>
      <c r="L9" s="201"/>
    </row>
    <row r="10" spans="2:12" s="200" customFormat="1" ht="12" customHeight="1">
      <c r="B10" s="201"/>
      <c r="D10" s="195" t="s">
        <v>583</v>
      </c>
      <c r="L10" s="201"/>
    </row>
    <row r="11" spans="2:12" s="200" customFormat="1" ht="16.5" customHeight="1">
      <c r="B11" s="201"/>
      <c r="E11" s="598" t="s">
        <v>1014</v>
      </c>
      <c r="F11" s="624"/>
      <c r="G11" s="624"/>
      <c r="H11" s="624"/>
      <c r="L11" s="201"/>
    </row>
    <row r="12" spans="2:12" s="200" customFormat="1" ht="15">
      <c r="B12" s="201"/>
      <c r="L12" s="201"/>
    </row>
    <row r="13" spans="2:12" s="200" customFormat="1" ht="12" customHeight="1">
      <c r="B13" s="201"/>
      <c r="D13" s="195" t="s">
        <v>523</v>
      </c>
      <c r="F13" s="193" t="s">
        <v>180</v>
      </c>
      <c r="I13" s="195" t="s">
        <v>524</v>
      </c>
      <c r="J13" s="193" t="s">
        <v>180</v>
      </c>
      <c r="L13" s="201"/>
    </row>
    <row r="14" spans="2:12" s="200" customFormat="1" ht="12" customHeight="1">
      <c r="B14" s="201"/>
      <c r="D14" s="195" t="s">
        <v>525</v>
      </c>
      <c r="F14" s="193" t="s">
        <v>226</v>
      </c>
      <c r="I14" s="195" t="s">
        <v>4</v>
      </c>
      <c r="J14" s="221" t="str">
        <f>'[5]Rekapitulace stavby'!AN8</f>
        <v>18. 12. 2023</v>
      </c>
      <c r="L14" s="201"/>
    </row>
    <row r="15" spans="2:12" s="200" customFormat="1" ht="10.9" customHeight="1">
      <c r="B15" s="201"/>
      <c r="L15" s="201"/>
    </row>
    <row r="16" spans="2:12" s="200" customFormat="1" ht="12" customHeight="1">
      <c r="B16" s="201"/>
      <c r="D16" s="195" t="s">
        <v>526</v>
      </c>
      <c r="I16" s="195" t="s">
        <v>527</v>
      </c>
      <c r="J16" s="193" t="s">
        <v>180</v>
      </c>
      <c r="L16" s="201"/>
    </row>
    <row r="17" spans="2:12" s="200" customFormat="1" ht="18" customHeight="1">
      <c r="B17" s="201"/>
      <c r="E17" s="193" t="s">
        <v>7</v>
      </c>
      <c r="I17" s="195" t="s">
        <v>528</v>
      </c>
      <c r="J17" s="193" t="s">
        <v>180</v>
      </c>
      <c r="L17" s="201"/>
    </row>
    <row r="18" spans="2:12" s="200" customFormat="1" ht="6.95" customHeight="1">
      <c r="B18" s="201"/>
      <c r="L18" s="201"/>
    </row>
    <row r="19" spans="2:12" s="200" customFormat="1" ht="12" customHeight="1">
      <c r="B19" s="201"/>
      <c r="D19" s="195" t="s">
        <v>529</v>
      </c>
      <c r="I19" s="195" t="s">
        <v>527</v>
      </c>
      <c r="J19" s="196" t="str">
        <f>'[5]Rekapitulace stavby'!AN13</f>
        <v>Vyplň údaj</v>
      </c>
      <c r="L19" s="201"/>
    </row>
    <row r="20" spans="2:12" s="200" customFormat="1" ht="18" customHeight="1">
      <c r="B20" s="201"/>
      <c r="E20" s="627" t="str">
        <f>'[5]Rekapitulace stavby'!E14</f>
        <v>Vyplň údaj</v>
      </c>
      <c r="F20" s="584"/>
      <c r="G20" s="584"/>
      <c r="H20" s="584"/>
      <c r="I20" s="195" t="s">
        <v>528</v>
      </c>
      <c r="J20" s="196" t="str">
        <f>'[5]Rekapitulace stavby'!AN14</f>
        <v>Vyplň údaj</v>
      </c>
      <c r="L20" s="201"/>
    </row>
    <row r="21" spans="2:12" s="200" customFormat="1" ht="6.95" customHeight="1">
      <c r="B21" s="201"/>
      <c r="L21" s="201"/>
    </row>
    <row r="22" spans="2:12" s="200" customFormat="1" ht="12" customHeight="1">
      <c r="B22" s="201"/>
      <c r="D22" s="195" t="s">
        <v>182</v>
      </c>
      <c r="I22" s="195" t="s">
        <v>527</v>
      </c>
      <c r="J22" s="193" t="str">
        <f>IF('[5]Rekapitulace stavby'!AN16="","",'[5]Rekapitulace stavby'!AN16)</f>
        <v/>
      </c>
      <c r="L22" s="201"/>
    </row>
    <row r="23" spans="2:12" s="200" customFormat="1" ht="18" customHeight="1">
      <c r="B23" s="201"/>
      <c r="E23" s="193" t="str">
        <f>IF('[5]Rekapitulace stavby'!E17="","",'[5]Rekapitulace stavby'!E17)</f>
        <v xml:space="preserve"> </v>
      </c>
      <c r="I23" s="195" t="s">
        <v>528</v>
      </c>
      <c r="J23" s="193" t="str">
        <f>IF('[5]Rekapitulace stavby'!AN17="","",'[5]Rekapitulace stavby'!AN17)</f>
        <v/>
      </c>
      <c r="L23" s="201"/>
    </row>
    <row r="24" spans="2:12" s="200" customFormat="1" ht="6.95" customHeight="1">
      <c r="B24" s="201"/>
      <c r="L24" s="201"/>
    </row>
    <row r="25" spans="2:12" s="200" customFormat="1" ht="12" customHeight="1">
      <c r="B25" s="201"/>
      <c r="D25" s="195" t="s">
        <v>532</v>
      </c>
      <c r="I25" s="195" t="s">
        <v>527</v>
      </c>
      <c r="J25" s="193" t="str">
        <f>IF('[5]Rekapitulace stavby'!AN19="","",'[5]Rekapitulace stavby'!AN19)</f>
        <v/>
      </c>
      <c r="L25" s="201"/>
    </row>
    <row r="26" spans="2:12" s="200" customFormat="1" ht="18" customHeight="1">
      <c r="B26" s="201"/>
      <c r="E26" s="193" t="str">
        <f>IF('[5]Rekapitulace stavby'!E20="","",'[5]Rekapitulace stavby'!E20)</f>
        <v xml:space="preserve"> </v>
      </c>
      <c r="I26" s="195" t="s">
        <v>528</v>
      </c>
      <c r="J26" s="193" t="str">
        <f>IF('[5]Rekapitulace stavby'!AN20="","",'[5]Rekapitulace stavby'!AN20)</f>
        <v/>
      </c>
      <c r="L26" s="201"/>
    </row>
    <row r="27" spans="2:12" s="200" customFormat="1" ht="6.95" customHeight="1">
      <c r="B27" s="201"/>
      <c r="L27" s="201"/>
    </row>
    <row r="28" spans="2:12" s="200" customFormat="1" ht="12" customHeight="1">
      <c r="B28" s="201"/>
      <c r="D28" s="195" t="s">
        <v>220</v>
      </c>
      <c r="L28" s="201"/>
    </row>
    <row r="29" spans="2:12" s="265" customFormat="1" ht="16.5" customHeight="1">
      <c r="B29" s="266"/>
      <c r="E29" s="591" t="s">
        <v>180</v>
      </c>
      <c r="F29" s="591"/>
      <c r="G29" s="591"/>
      <c r="H29" s="591"/>
      <c r="L29" s="266"/>
    </row>
    <row r="30" spans="2:12" s="200" customFormat="1" ht="6.95" customHeight="1">
      <c r="B30" s="201"/>
      <c r="L30" s="201"/>
    </row>
    <row r="31" spans="2:12" s="200" customFormat="1" ht="6.95" customHeight="1">
      <c r="B31" s="201"/>
      <c r="D31" s="222"/>
      <c r="E31" s="222"/>
      <c r="F31" s="222"/>
      <c r="G31" s="222"/>
      <c r="H31" s="222"/>
      <c r="I31" s="222"/>
      <c r="J31" s="222"/>
      <c r="K31" s="222"/>
      <c r="L31" s="201"/>
    </row>
    <row r="32" spans="2:12" s="200" customFormat="1" ht="25.35" customHeight="1">
      <c r="B32" s="201"/>
      <c r="D32" s="267" t="s">
        <v>534</v>
      </c>
      <c r="J32" s="236">
        <f>ROUND(J90,2)</f>
        <v>0</v>
      </c>
      <c r="L32" s="201"/>
    </row>
    <row r="33" spans="2:12" s="200" customFormat="1" ht="6.95" customHeight="1">
      <c r="B33" s="201"/>
      <c r="D33" s="222"/>
      <c r="E33" s="222"/>
      <c r="F33" s="222"/>
      <c r="G33" s="222"/>
      <c r="H33" s="222"/>
      <c r="I33" s="222"/>
      <c r="J33" s="222"/>
      <c r="K33" s="222"/>
      <c r="L33" s="201"/>
    </row>
    <row r="34" spans="2:12" s="200" customFormat="1" ht="14.45" customHeight="1">
      <c r="B34" s="201"/>
      <c r="F34" s="204" t="s">
        <v>536</v>
      </c>
      <c r="I34" s="204" t="s">
        <v>535</v>
      </c>
      <c r="J34" s="204" t="s">
        <v>537</v>
      </c>
      <c r="L34" s="201"/>
    </row>
    <row r="35" spans="2:12" s="200" customFormat="1" ht="14.45" customHeight="1">
      <c r="B35" s="201"/>
      <c r="D35" s="224" t="s">
        <v>538</v>
      </c>
      <c r="E35" s="195" t="s">
        <v>539</v>
      </c>
      <c r="F35" s="257">
        <f>ROUND((SUM(BE90:BE119)),2)</f>
        <v>0</v>
      </c>
      <c r="I35" s="268">
        <v>0.21</v>
      </c>
      <c r="J35" s="257">
        <f>ROUND(((SUM(BE90:BE119))*I35),2)</f>
        <v>0</v>
      </c>
      <c r="L35" s="201"/>
    </row>
    <row r="36" spans="2:12" s="200" customFormat="1" ht="14.45" customHeight="1">
      <c r="B36" s="201"/>
      <c r="E36" s="195" t="s">
        <v>540</v>
      </c>
      <c r="F36" s="257">
        <f>ROUND((SUM(BF90:BF119)),2)</f>
        <v>0</v>
      </c>
      <c r="I36" s="268">
        <v>0.15</v>
      </c>
      <c r="J36" s="257">
        <f>ROUND(((SUM(BF90:BF119))*I36),2)</f>
        <v>0</v>
      </c>
      <c r="L36" s="201"/>
    </row>
    <row r="37" spans="2:12" s="200" customFormat="1" ht="14.45" customHeight="1" hidden="1">
      <c r="B37" s="201"/>
      <c r="E37" s="195" t="s">
        <v>541</v>
      </c>
      <c r="F37" s="257">
        <f>ROUND((SUM(BG90:BG119)),2)</f>
        <v>0</v>
      </c>
      <c r="I37" s="268">
        <v>0.21</v>
      </c>
      <c r="J37" s="257">
        <f>0</f>
        <v>0</v>
      </c>
      <c r="L37" s="201"/>
    </row>
    <row r="38" spans="2:12" s="200" customFormat="1" ht="14.45" customHeight="1" hidden="1">
      <c r="B38" s="201"/>
      <c r="E38" s="195" t="s">
        <v>542</v>
      </c>
      <c r="F38" s="257">
        <f>ROUND((SUM(BH90:BH119)),2)</f>
        <v>0</v>
      </c>
      <c r="I38" s="268">
        <v>0.15</v>
      </c>
      <c r="J38" s="257">
        <f>0</f>
        <v>0</v>
      </c>
      <c r="L38" s="201"/>
    </row>
    <row r="39" spans="2:12" s="200" customFormat="1" ht="14.45" customHeight="1" hidden="1">
      <c r="B39" s="201"/>
      <c r="E39" s="195" t="s">
        <v>543</v>
      </c>
      <c r="F39" s="257">
        <f>ROUND((SUM(BI90:BI119)),2)</f>
        <v>0</v>
      </c>
      <c r="I39" s="268">
        <v>0</v>
      </c>
      <c r="J39" s="257">
        <f>0</f>
        <v>0</v>
      </c>
      <c r="L39" s="201"/>
    </row>
    <row r="40" spans="2:12" s="200" customFormat="1" ht="6.95" customHeight="1">
      <c r="B40" s="201"/>
      <c r="L40" s="201"/>
    </row>
    <row r="41" spans="2:12" s="200" customFormat="1" ht="25.35" customHeight="1">
      <c r="B41" s="201"/>
      <c r="C41" s="269"/>
      <c r="D41" s="270" t="s">
        <v>544</v>
      </c>
      <c r="E41" s="226"/>
      <c r="F41" s="226"/>
      <c r="G41" s="271" t="s">
        <v>545</v>
      </c>
      <c r="H41" s="272" t="s">
        <v>546</v>
      </c>
      <c r="I41" s="226"/>
      <c r="J41" s="273">
        <f>SUM(J32:J39)</f>
        <v>0</v>
      </c>
      <c r="K41" s="274"/>
      <c r="L41" s="201"/>
    </row>
    <row r="42" spans="2:12" s="200" customFormat="1" ht="14.45" customHeight="1"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01"/>
    </row>
    <row r="46" spans="2:12" s="200" customFormat="1" ht="6.95" customHeight="1"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01"/>
    </row>
    <row r="47" spans="2:12" s="200" customFormat="1" ht="24.95" customHeight="1">
      <c r="B47" s="201"/>
      <c r="C47" s="189" t="s">
        <v>584</v>
      </c>
      <c r="L47" s="201"/>
    </row>
    <row r="48" spans="2:12" s="200" customFormat="1" ht="6.95" customHeight="1">
      <c r="B48" s="201"/>
      <c r="L48" s="201"/>
    </row>
    <row r="49" spans="2:12" s="200" customFormat="1" ht="12" customHeight="1">
      <c r="B49" s="201"/>
      <c r="C49" s="195" t="s">
        <v>521</v>
      </c>
      <c r="L49" s="201"/>
    </row>
    <row r="50" spans="2:12" s="200" customFormat="1" ht="16.5" customHeight="1">
      <c r="B50" s="201"/>
      <c r="E50" s="625" t="str">
        <f>E7</f>
        <v>Karlovy Vary, Sady Karla IV – revitalizace veřejného prostranství</v>
      </c>
      <c r="F50" s="626"/>
      <c r="G50" s="626"/>
      <c r="H50" s="626"/>
      <c r="L50" s="201"/>
    </row>
    <row r="51" spans="2:12" ht="12" customHeight="1">
      <c r="B51" s="188"/>
      <c r="C51" s="195" t="s">
        <v>581</v>
      </c>
      <c r="L51" s="188"/>
    </row>
    <row r="52" spans="2:12" s="200" customFormat="1" ht="16.5" customHeight="1">
      <c r="B52" s="201"/>
      <c r="E52" s="625" t="s">
        <v>1014</v>
      </c>
      <c r="F52" s="624"/>
      <c r="G52" s="624"/>
      <c r="H52" s="624"/>
      <c r="L52" s="201"/>
    </row>
    <row r="53" spans="2:12" s="200" customFormat="1" ht="12" customHeight="1">
      <c r="B53" s="201"/>
      <c r="C53" s="195" t="s">
        <v>583</v>
      </c>
      <c r="L53" s="201"/>
    </row>
    <row r="54" spans="2:12" s="200" customFormat="1" ht="16.5" customHeight="1">
      <c r="B54" s="201"/>
      <c r="E54" s="598" t="str">
        <f>E11</f>
        <v>VRN - Vedlejší rozpočtové náklady</v>
      </c>
      <c r="F54" s="624"/>
      <c r="G54" s="624"/>
      <c r="H54" s="624"/>
      <c r="L54" s="201"/>
    </row>
    <row r="55" spans="2:12" s="200" customFormat="1" ht="6.95" customHeight="1">
      <c r="B55" s="201"/>
      <c r="L55" s="201"/>
    </row>
    <row r="56" spans="2:12" s="200" customFormat="1" ht="12" customHeight="1">
      <c r="B56" s="201"/>
      <c r="C56" s="195" t="s">
        <v>525</v>
      </c>
      <c r="F56" s="193" t="str">
        <f>F14</f>
        <v>Karlovy Vary</v>
      </c>
      <c r="I56" s="195" t="s">
        <v>4</v>
      </c>
      <c r="J56" s="221" t="str">
        <f>IF(J14="","",J14)</f>
        <v>18. 12. 2023</v>
      </c>
      <c r="L56" s="201"/>
    </row>
    <row r="57" spans="2:12" s="200" customFormat="1" ht="6.95" customHeight="1">
      <c r="B57" s="201"/>
      <c r="L57" s="201"/>
    </row>
    <row r="58" spans="2:12" s="200" customFormat="1" ht="15.2" customHeight="1">
      <c r="B58" s="201"/>
      <c r="C58" s="195" t="s">
        <v>526</v>
      </c>
      <c r="F58" s="193" t="str">
        <f>E17</f>
        <v>Statutární město Karlovy Vary</v>
      </c>
      <c r="I58" s="195" t="s">
        <v>182</v>
      </c>
      <c r="J58" s="198" t="str">
        <f>E23</f>
        <v xml:space="preserve"> </v>
      </c>
      <c r="L58" s="201"/>
    </row>
    <row r="59" spans="2:12" s="200" customFormat="1" ht="15.2" customHeight="1">
      <c r="B59" s="201"/>
      <c r="C59" s="195" t="s">
        <v>529</v>
      </c>
      <c r="F59" s="193" t="str">
        <f>IF(E20="","",E20)</f>
        <v>Vyplň údaj</v>
      </c>
      <c r="I59" s="195" t="s">
        <v>532</v>
      </c>
      <c r="J59" s="198" t="str">
        <f>E26</f>
        <v xml:space="preserve"> </v>
      </c>
      <c r="L59" s="201"/>
    </row>
    <row r="60" spans="2:12" s="200" customFormat="1" ht="10.35" customHeight="1">
      <c r="B60" s="201"/>
      <c r="L60" s="201"/>
    </row>
    <row r="61" spans="2:12" s="200" customFormat="1" ht="29.25" customHeight="1">
      <c r="B61" s="201"/>
      <c r="C61" s="275" t="s">
        <v>585</v>
      </c>
      <c r="D61" s="269"/>
      <c r="E61" s="269"/>
      <c r="F61" s="269"/>
      <c r="G61" s="269"/>
      <c r="H61" s="269"/>
      <c r="I61" s="269"/>
      <c r="J61" s="276" t="s">
        <v>586</v>
      </c>
      <c r="K61" s="269"/>
      <c r="L61" s="201"/>
    </row>
    <row r="62" spans="2:12" s="200" customFormat="1" ht="10.35" customHeight="1">
      <c r="B62" s="201"/>
      <c r="L62" s="201"/>
    </row>
    <row r="63" spans="2:47" s="200" customFormat="1" ht="22.9" customHeight="1">
      <c r="B63" s="201"/>
      <c r="C63" s="277" t="s">
        <v>564</v>
      </c>
      <c r="J63" s="236">
        <f>J90</f>
        <v>0</v>
      </c>
      <c r="L63" s="201"/>
      <c r="AU63" s="185" t="s">
        <v>587</v>
      </c>
    </row>
    <row r="64" spans="2:12" s="278" customFormat="1" ht="24.95" customHeight="1">
      <c r="B64" s="279"/>
      <c r="D64" s="280" t="s">
        <v>1014</v>
      </c>
      <c r="E64" s="281"/>
      <c r="F64" s="281"/>
      <c r="G64" s="281"/>
      <c r="H64" s="281"/>
      <c r="I64" s="281"/>
      <c r="J64" s="282">
        <f>J91</f>
        <v>0</v>
      </c>
      <c r="L64" s="279"/>
    </row>
    <row r="65" spans="2:12" s="254" customFormat="1" ht="19.9" customHeight="1">
      <c r="B65" s="283"/>
      <c r="D65" s="284" t="s">
        <v>1015</v>
      </c>
      <c r="E65" s="285"/>
      <c r="F65" s="285"/>
      <c r="G65" s="285"/>
      <c r="H65" s="285"/>
      <c r="I65" s="285"/>
      <c r="J65" s="286">
        <f>J92</f>
        <v>0</v>
      </c>
      <c r="L65" s="283"/>
    </row>
    <row r="66" spans="2:12" s="254" customFormat="1" ht="19.9" customHeight="1">
      <c r="B66" s="283"/>
      <c r="D66" s="284" t="s">
        <v>1016</v>
      </c>
      <c r="E66" s="285"/>
      <c r="F66" s="285"/>
      <c r="G66" s="285"/>
      <c r="H66" s="285"/>
      <c r="I66" s="285"/>
      <c r="J66" s="286">
        <f>J104</f>
        <v>0</v>
      </c>
      <c r="L66" s="283"/>
    </row>
    <row r="67" spans="2:12" s="254" customFormat="1" ht="19.9" customHeight="1">
      <c r="B67" s="283"/>
      <c r="D67" s="284" t="s">
        <v>1017</v>
      </c>
      <c r="E67" s="285"/>
      <c r="F67" s="285"/>
      <c r="G67" s="285"/>
      <c r="H67" s="285"/>
      <c r="I67" s="285"/>
      <c r="J67" s="286">
        <f>J112</f>
        <v>0</v>
      </c>
      <c r="L67" s="283"/>
    </row>
    <row r="68" spans="2:12" s="254" customFormat="1" ht="19.9" customHeight="1">
      <c r="B68" s="283"/>
      <c r="D68" s="284" t="s">
        <v>1301</v>
      </c>
      <c r="E68" s="285"/>
      <c r="F68" s="285"/>
      <c r="G68" s="285"/>
      <c r="H68" s="285"/>
      <c r="I68" s="285"/>
      <c r="J68" s="286">
        <f>J117</f>
        <v>0</v>
      </c>
      <c r="L68" s="283"/>
    </row>
    <row r="69" spans="2:12" s="200" customFormat="1" ht="21.75" customHeight="1">
      <c r="B69" s="201"/>
      <c r="L69" s="201"/>
    </row>
    <row r="70" spans="2:12" s="200" customFormat="1" ht="6.95" customHeight="1"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01"/>
    </row>
    <row r="74" spans="2:12" s="200" customFormat="1" ht="6.95" customHeight="1">
      <c r="B74" s="213"/>
      <c r="C74" s="214"/>
      <c r="D74" s="214"/>
      <c r="E74" s="214"/>
      <c r="F74" s="214"/>
      <c r="G74" s="214"/>
      <c r="H74" s="214"/>
      <c r="I74" s="214"/>
      <c r="J74" s="214"/>
      <c r="K74" s="214"/>
      <c r="L74" s="201"/>
    </row>
    <row r="75" spans="2:12" s="200" customFormat="1" ht="24.95" customHeight="1">
      <c r="B75" s="201"/>
      <c r="C75" s="189" t="s">
        <v>596</v>
      </c>
      <c r="L75" s="201"/>
    </row>
    <row r="76" spans="2:12" s="200" customFormat="1" ht="6.95" customHeight="1">
      <c r="B76" s="201"/>
      <c r="L76" s="201"/>
    </row>
    <row r="77" spans="2:12" s="200" customFormat="1" ht="12" customHeight="1">
      <c r="B77" s="201"/>
      <c r="C77" s="195" t="s">
        <v>521</v>
      </c>
      <c r="L77" s="201"/>
    </row>
    <row r="78" spans="2:12" s="200" customFormat="1" ht="16.5" customHeight="1">
      <c r="B78" s="201"/>
      <c r="E78" s="625" t="str">
        <f>E7</f>
        <v>Karlovy Vary, Sady Karla IV – revitalizace veřejného prostranství</v>
      </c>
      <c r="F78" s="626"/>
      <c r="G78" s="626"/>
      <c r="H78" s="626"/>
      <c r="L78" s="201"/>
    </row>
    <row r="79" spans="2:12" ht="12" customHeight="1">
      <c r="B79" s="188"/>
      <c r="C79" s="195" t="s">
        <v>581</v>
      </c>
      <c r="L79" s="188"/>
    </row>
    <row r="80" spans="2:12" s="200" customFormat="1" ht="16.5" customHeight="1">
      <c r="B80" s="201"/>
      <c r="E80" s="625" t="s">
        <v>1014</v>
      </c>
      <c r="F80" s="624"/>
      <c r="G80" s="624"/>
      <c r="H80" s="624"/>
      <c r="L80" s="201"/>
    </row>
    <row r="81" spans="2:12" s="200" customFormat="1" ht="12" customHeight="1">
      <c r="B81" s="201"/>
      <c r="C81" s="195" t="s">
        <v>583</v>
      </c>
      <c r="L81" s="201"/>
    </row>
    <row r="82" spans="2:12" s="200" customFormat="1" ht="16.5" customHeight="1">
      <c r="B82" s="201"/>
      <c r="E82" s="598" t="str">
        <f>E11</f>
        <v>VRN - Vedlejší rozpočtové náklady</v>
      </c>
      <c r="F82" s="624"/>
      <c r="G82" s="624"/>
      <c r="H82" s="624"/>
      <c r="L82" s="201"/>
    </row>
    <row r="83" spans="2:12" s="200" customFormat="1" ht="6.95" customHeight="1">
      <c r="B83" s="201"/>
      <c r="L83" s="201"/>
    </row>
    <row r="84" spans="2:12" s="200" customFormat="1" ht="12" customHeight="1">
      <c r="B84" s="201"/>
      <c r="C84" s="195" t="s">
        <v>525</v>
      </c>
      <c r="F84" s="193" t="str">
        <f>F14</f>
        <v>Karlovy Vary</v>
      </c>
      <c r="I84" s="195" t="s">
        <v>4</v>
      </c>
      <c r="J84" s="221" t="str">
        <f>IF(J14="","",J14)</f>
        <v>18. 12. 2023</v>
      </c>
      <c r="L84" s="201"/>
    </row>
    <row r="85" spans="2:12" s="200" customFormat="1" ht="6.95" customHeight="1">
      <c r="B85" s="201"/>
      <c r="L85" s="201"/>
    </row>
    <row r="86" spans="2:12" s="200" customFormat="1" ht="15.2" customHeight="1">
      <c r="B86" s="201"/>
      <c r="C86" s="195" t="s">
        <v>526</v>
      </c>
      <c r="F86" s="193" t="str">
        <f>E17</f>
        <v>Statutární město Karlovy Vary</v>
      </c>
      <c r="I86" s="195" t="s">
        <v>182</v>
      </c>
      <c r="J86" s="198" t="str">
        <f>E23</f>
        <v xml:space="preserve"> </v>
      </c>
      <c r="L86" s="201"/>
    </row>
    <row r="87" spans="2:12" s="200" customFormat="1" ht="15.2" customHeight="1">
      <c r="B87" s="201"/>
      <c r="C87" s="195" t="s">
        <v>529</v>
      </c>
      <c r="F87" s="193" t="str">
        <f>IF(E20="","",E20)</f>
        <v>Vyplň údaj</v>
      </c>
      <c r="I87" s="195" t="s">
        <v>532</v>
      </c>
      <c r="J87" s="198" t="str">
        <f>E26</f>
        <v xml:space="preserve"> </v>
      </c>
      <c r="L87" s="201"/>
    </row>
    <row r="88" spans="2:12" s="200" customFormat="1" ht="10.35" customHeight="1">
      <c r="B88" s="201"/>
      <c r="L88" s="201"/>
    </row>
    <row r="89" spans="2:20" s="287" customFormat="1" ht="29.25" customHeight="1">
      <c r="B89" s="288"/>
      <c r="C89" s="289" t="s">
        <v>597</v>
      </c>
      <c r="D89" s="290" t="s">
        <v>551</v>
      </c>
      <c r="E89" s="290" t="s">
        <v>23</v>
      </c>
      <c r="F89" s="290" t="s">
        <v>24</v>
      </c>
      <c r="G89" s="290" t="s">
        <v>25</v>
      </c>
      <c r="H89" s="290" t="s">
        <v>233</v>
      </c>
      <c r="I89" s="290" t="s">
        <v>598</v>
      </c>
      <c r="J89" s="290" t="s">
        <v>586</v>
      </c>
      <c r="K89" s="291" t="s">
        <v>599</v>
      </c>
      <c r="L89" s="288"/>
      <c r="M89" s="228" t="s">
        <v>180</v>
      </c>
      <c r="N89" s="229" t="s">
        <v>538</v>
      </c>
      <c r="O89" s="229" t="s">
        <v>600</v>
      </c>
      <c r="P89" s="229" t="s">
        <v>601</v>
      </c>
      <c r="Q89" s="229" t="s">
        <v>602</v>
      </c>
      <c r="R89" s="229" t="s">
        <v>603</v>
      </c>
      <c r="S89" s="229" t="s">
        <v>604</v>
      </c>
      <c r="T89" s="230" t="s">
        <v>605</v>
      </c>
    </row>
    <row r="90" spans="2:63" s="200" customFormat="1" ht="22.9" customHeight="1">
      <c r="B90" s="201"/>
      <c r="C90" s="234" t="s">
        <v>606</v>
      </c>
      <c r="J90" s="292">
        <f>BK90</f>
        <v>0</v>
      </c>
      <c r="L90" s="201"/>
      <c r="M90" s="231"/>
      <c r="N90" s="222"/>
      <c r="O90" s="222"/>
      <c r="P90" s="293">
        <f>P91</f>
        <v>0</v>
      </c>
      <c r="Q90" s="222"/>
      <c r="R90" s="293">
        <f>R91</f>
        <v>0</v>
      </c>
      <c r="S90" s="222"/>
      <c r="T90" s="294">
        <f>T91</f>
        <v>0</v>
      </c>
      <c r="AT90" s="185" t="s">
        <v>565</v>
      </c>
      <c r="AU90" s="185" t="s">
        <v>587</v>
      </c>
      <c r="BK90" s="295">
        <f>BK91</f>
        <v>0</v>
      </c>
    </row>
    <row r="91" spans="2:63" s="296" customFormat="1" ht="25.9" customHeight="1">
      <c r="B91" s="297"/>
      <c r="D91" s="298" t="s">
        <v>565</v>
      </c>
      <c r="E91" s="299" t="s">
        <v>576</v>
      </c>
      <c r="F91" s="299" t="s">
        <v>577</v>
      </c>
      <c r="I91" s="300"/>
      <c r="J91" s="301">
        <f>BK91</f>
        <v>0</v>
      </c>
      <c r="L91" s="297"/>
      <c r="M91" s="302"/>
      <c r="P91" s="303">
        <f>P92+P104+P112+P117</f>
        <v>0</v>
      </c>
      <c r="R91" s="303">
        <f>R92+R104+R112+R117</f>
        <v>0</v>
      </c>
      <c r="T91" s="304">
        <f>T92+T104+T112+T117</f>
        <v>0</v>
      </c>
      <c r="AR91" s="298" t="s">
        <v>270</v>
      </c>
      <c r="AT91" s="305" t="s">
        <v>565</v>
      </c>
      <c r="AU91" s="305" t="s">
        <v>301</v>
      </c>
      <c r="AY91" s="298" t="s">
        <v>608</v>
      </c>
      <c r="BK91" s="306">
        <f>BK92+BK104+BK112+BK117</f>
        <v>0</v>
      </c>
    </row>
    <row r="92" spans="2:63" s="296" customFormat="1" ht="22.9" customHeight="1">
      <c r="B92" s="297"/>
      <c r="D92" s="298" t="s">
        <v>565</v>
      </c>
      <c r="E92" s="307" t="s">
        <v>1018</v>
      </c>
      <c r="F92" s="307" t="s">
        <v>1019</v>
      </c>
      <c r="I92" s="300"/>
      <c r="J92" s="308">
        <f>BK92</f>
        <v>0</v>
      </c>
      <c r="L92" s="297"/>
      <c r="M92" s="302"/>
      <c r="P92" s="303">
        <f>SUM(P93:P103)</f>
        <v>0</v>
      </c>
      <c r="R92" s="303">
        <f>SUM(R93:R103)</f>
        <v>0</v>
      </c>
      <c r="T92" s="304">
        <f>SUM(T93:T103)</f>
        <v>0</v>
      </c>
      <c r="AR92" s="298" t="s">
        <v>270</v>
      </c>
      <c r="AT92" s="305" t="s">
        <v>565</v>
      </c>
      <c r="AU92" s="305" t="s">
        <v>260</v>
      </c>
      <c r="AY92" s="298" t="s">
        <v>608</v>
      </c>
      <c r="BK92" s="306">
        <f>SUM(BK93:BK103)</f>
        <v>0</v>
      </c>
    </row>
    <row r="93" spans="2:65" s="200" customFormat="1" ht="16.5" customHeight="1">
      <c r="B93" s="201"/>
      <c r="C93" s="309" t="s">
        <v>260</v>
      </c>
      <c r="D93" s="309" t="s">
        <v>610</v>
      </c>
      <c r="E93" s="310" t="s">
        <v>1020</v>
      </c>
      <c r="F93" s="311" t="s">
        <v>1021</v>
      </c>
      <c r="G93" s="312" t="s">
        <v>159</v>
      </c>
      <c r="H93" s="313">
        <v>1</v>
      </c>
      <c r="I93" s="314"/>
      <c r="J93" s="315">
        <f>ROUND(I93*H93,2)</f>
        <v>0</v>
      </c>
      <c r="K93" s="311" t="s">
        <v>180</v>
      </c>
      <c r="L93" s="201"/>
      <c r="M93" s="316" t="s">
        <v>180</v>
      </c>
      <c r="N93" s="317" t="s">
        <v>539</v>
      </c>
      <c r="P93" s="318">
        <f>O93*H93</f>
        <v>0</v>
      </c>
      <c r="Q93" s="318">
        <v>0</v>
      </c>
      <c r="R93" s="318">
        <f>Q93*H93</f>
        <v>0</v>
      </c>
      <c r="S93" s="318">
        <v>0</v>
      </c>
      <c r="T93" s="319">
        <f>S93*H93</f>
        <v>0</v>
      </c>
      <c r="AR93" s="320" t="s">
        <v>1022</v>
      </c>
      <c r="AT93" s="320" t="s">
        <v>610</v>
      </c>
      <c r="AU93" s="320" t="s">
        <v>266</v>
      </c>
      <c r="AY93" s="185" t="s">
        <v>608</v>
      </c>
      <c r="BE93" s="321">
        <f>IF(N93="základní",J93,0)</f>
        <v>0</v>
      </c>
      <c r="BF93" s="321">
        <f>IF(N93="snížená",J93,0)</f>
        <v>0</v>
      </c>
      <c r="BG93" s="321">
        <f>IF(N93="zákl. přenesená",J93,0)</f>
        <v>0</v>
      </c>
      <c r="BH93" s="321">
        <f>IF(N93="sníž. přenesená",J93,0)</f>
        <v>0</v>
      </c>
      <c r="BI93" s="321">
        <f>IF(N93="nulová",J93,0)</f>
        <v>0</v>
      </c>
      <c r="BJ93" s="185" t="s">
        <v>260</v>
      </c>
      <c r="BK93" s="321">
        <f>ROUND(I93*H93,2)</f>
        <v>0</v>
      </c>
      <c r="BL93" s="185" t="s">
        <v>1022</v>
      </c>
      <c r="BM93" s="320" t="s">
        <v>1023</v>
      </c>
    </row>
    <row r="94" spans="2:47" s="200" customFormat="1" ht="15">
      <c r="B94" s="201"/>
      <c r="D94" s="327" t="s">
        <v>1247</v>
      </c>
      <c r="F94" s="460" t="s">
        <v>1021</v>
      </c>
      <c r="I94" s="323"/>
      <c r="L94" s="201"/>
      <c r="M94" s="324"/>
      <c r="T94" s="225"/>
      <c r="AT94" s="185" t="s">
        <v>1247</v>
      </c>
      <c r="AU94" s="185" t="s">
        <v>266</v>
      </c>
    </row>
    <row r="95" spans="2:65" s="200" customFormat="1" ht="16.5" customHeight="1">
      <c r="B95" s="201"/>
      <c r="C95" s="309" t="s">
        <v>266</v>
      </c>
      <c r="D95" s="309" t="s">
        <v>610</v>
      </c>
      <c r="E95" s="310" t="s">
        <v>1024</v>
      </c>
      <c r="F95" s="311" t="s">
        <v>1025</v>
      </c>
      <c r="G95" s="312" t="s">
        <v>159</v>
      </c>
      <c r="H95" s="313">
        <v>1</v>
      </c>
      <c r="I95" s="314"/>
      <c r="J95" s="315">
        <f>ROUND(I95*H95,2)</f>
        <v>0</v>
      </c>
      <c r="K95" s="311" t="s">
        <v>180</v>
      </c>
      <c r="L95" s="201"/>
      <c r="M95" s="316" t="s">
        <v>180</v>
      </c>
      <c r="N95" s="317" t="s">
        <v>539</v>
      </c>
      <c r="P95" s="318">
        <f>O95*H95</f>
        <v>0</v>
      </c>
      <c r="Q95" s="318">
        <v>0</v>
      </c>
      <c r="R95" s="318">
        <f>Q95*H95</f>
        <v>0</v>
      </c>
      <c r="S95" s="318">
        <v>0</v>
      </c>
      <c r="T95" s="319">
        <f>S95*H95</f>
        <v>0</v>
      </c>
      <c r="AR95" s="320" t="s">
        <v>1022</v>
      </c>
      <c r="AT95" s="320" t="s">
        <v>610</v>
      </c>
      <c r="AU95" s="320" t="s">
        <v>266</v>
      </c>
      <c r="AY95" s="185" t="s">
        <v>608</v>
      </c>
      <c r="BE95" s="321">
        <f>IF(N95="základní",J95,0)</f>
        <v>0</v>
      </c>
      <c r="BF95" s="321">
        <f>IF(N95="snížená",J95,0)</f>
        <v>0</v>
      </c>
      <c r="BG95" s="321">
        <f>IF(N95="zákl. přenesená",J95,0)</f>
        <v>0</v>
      </c>
      <c r="BH95" s="321">
        <f>IF(N95="sníž. přenesená",J95,0)</f>
        <v>0</v>
      </c>
      <c r="BI95" s="321">
        <f>IF(N95="nulová",J95,0)</f>
        <v>0</v>
      </c>
      <c r="BJ95" s="185" t="s">
        <v>260</v>
      </c>
      <c r="BK95" s="321">
        <f>ROUND(I95*H95,2)</f>
        <v>0</v>
      </c>
      <c r="BL95" s="185" t="s">
        <v>1022</v>
      </c>
      <c r="BM95" s="320" t="s">
        <v>1026</v>
      </c>
    </row>
    <row r="96" spans="2:47" s="200" customFormat="1" ht="15">
      <c r="B96" s="201"/>
      <c r="D96" s="327" t="s">
        <v>1247</v>
      </c>
      <c r="F96" s="460" t="s">
        <v>1025</v>
      </c>
      <c r="I96" s="323"/>
      <c r="L96" s="201"/>
      <c r="M96" s="324"/>
      <c r="T96" s="225"/>
      <c r="AT96" s="185" t="s">
        <v>1247</v>
      </c>
      <c r="AU96" s="185" t="s">
        <v>266</v>
      </c>
    </row>
    <row r="97" spans="2:65" s="200" customFormat="1" ht="16.5" customHeight="1">
      <c r="B97" s="201"/>
      <c r="C97" s="309" t="s">
        <v>268</v>
      </c>
      <c r="D97" s="309" t="s">
        <v>610</v>
      </c>
      <c r="E97" s="310" t="s">
        <v>1027</v>
      </c>
      <c r="F97" s="311" t="s">
        <v>1028</v>
      </c>
      <c r="G97" s="312" t="s">
        <v>159</v>
      </c>
      <c r="H97" s="313">
        <v>1</v>
      </c>
      <c r="I97" s="314"/>
      <c r="J97" s="315">
        <f>ROUND(I97*H97,2)</f>
        <v>0</v>
      </c>
      <c r="K97" s="311" t="s">
        <v>180</v>
      </c>
      <c r="L97" s="201"/>
      <c r="M97" s="316" t="s">
        <v>180</v>
      </c>
      <c r="N97" s="317" t="s">
        <v>539</v>
      </c>
      <c r="P97" s="318">
        <f>O97*H97</f>
        <v>0</v>
      </c>
      <c r="Q97" s="318">
        <v>0</v>
      </c>
      <c r="R97" s="318">
        <f>Q97*H97</f>
        <v>0</v>
      </c>
      <c r="S97" s="318">
        <v>0</v>
      </c>
      <c r="T97" s="319">
        <f>S97*H97</f>
        <v>0</v>
      </c>
      <c r="AR97" s="320" t="s">
        <v>1022</v>
      </c>
      <c r="AT97" s="320" t="s">
        <v>610</v>
      </c>
      <c r="AU97" s="320" t="s">
        <v>266</v>
      </c>
      <c r="AY97" s="185" t="s">
        <v>608</v>
      </c>
      <c r="BE97" s="321">
        <f>IF(N97="základní",J97,0)</f>
        <v>0</v>
      </c>
      <c r="BF97" s="321">
        <f>IF(N97="snížená",J97,0)</f>
        <v>0</v>
      </c>
      <c r="BG97" s="321">
        <f>IF(N97="zákl. přenesená",J97,0)</f>
        <v>0</v>
      </c>
      <c r="BH97" s="321">
        <f>IF(N97="sníž. přenesená",J97,0)</f>
        <v>0</v>
      </c>
      <c r="BI97" s="321">
        <f>IF(N97="nulová",J97,0)</f>
        <v>0</v>
      </c>
      <c r="BJ97" s="185" t="s">
        <v>260</v>
      </c>
      <c r="BK97" s="321">
        <f>ROUND(I97*H97,2)</f>
        <v>0</v>
      </c>
      <c r="BL97" s="185" t="s">
        <v>1022</v>
      </c>
      <c r="BM97" s="320" t="s">
        <v>1029</v>
      </c>
    </row>
    <row r="98" spans="2:47" s="200" customFormat="1" ht="15">
      <c r="B98" s="201"/>
      <c r="D98" s="327" t="s">
        <v>1247</v>
      </c>
      <c r="F98" s="460" t="s">
        <v>1028</v>
      </c>
      <c r="I98" s="323"/>
      <c r="L98" s="201"/>
      <c r="M98" s="324"/>
      <c r="T98" s="225"/>
      <c r="AT98" s="185" t="s">
        <v>1247</v>
      </c>
      <c r="AU98" s="185" t="s">
        <v>266</v>
      </c>
    </row>
    <row r="99" spans="2:65" s="200" customFormat="1" ht="16.5" customHeight="1">
      <c r="B99" s="201"/>
      <c r="C99" s="309" t="s">
        <v>269</v>
      </c>
      <c r="D99" s="309" t="s">
        <v>610</v>
      </c>
      <c r="E99" s="310" t="s">
        <v>1030</v>
      </c>
      <c r="F99" s="311" t="s">
        <v>1031</v>
      </c>
      <c r="G99" s="312" t="s">
        <v>159</v>
      </c>
      <c r="H99" s="313">
        <v>1</v>
      </c>
      <c r="I99" s="314"/>
      <c r="J99" s="315">
        <f>ROUND(I99*H99,2)</f>
        <v>0</v>
      </c>
      <c r="K99" s="311" t="s">
        <v>180</v>
      </c>
      <c r="L99" s="201"/>
      <c r="M99" s="316" t="s">
        <v>180</v>
      </c>
      <c r="N99" s="317" t="s">
        <v>539</v>
      </c>
      <c r="P99" s="318">
        <f>O99*H99</f>
        <v>0</v>
      </c>
      <c r="Q99" s="318">
        <v>0</v>
      </c>
      <c r="R99" s="318">
        <f>Q99*H99</f>
        <v>0</v>
      </c>
      <c r="S99" s="318">
        <v>0</v>
      </c>
      <c r="T99" s="319">
        <f>S99*H99</f>
        <v>0</v>
      </c>
      <c r="AR99" s="320" t="s">
        <v>1022</v>
      </c>
      <c r="AT99" s="320" t="s">
        <v>610</v>
      </c>
      <c r="AU99" s="320" t="s">
        <v>266</v>
      </c>
      <c r="AY99" s="185" t="s">
        <v>608</v>
      </c>
      <c r="BE99" s="321">
        <f>IF(N99="základní",J99,0)</f>
        <v>0</v>
      </c>
      <c r="BF99" s="321">
        <f>IF(N99="snížená",J99,0)</f>
        <v>0</v>
      </c>
      <c r="BG99" s="321">
        <f>IF(N99="zákl. přenesená",J99,0)</f>
        <v>0</v>
      </c>
      <c r="BH99" s="321">
        <f>IF(N99="sníž. přenesená",J99,0)</f>
        <v>0</v>
      </c>
      <c r="BI99" s="321">
        <f>IF(N99="nulová",J99,0)</f>
        <v>0</v>
      </c>
      <c r="BJ99" s="185" t="s">
        <v>260</v>
      </c>
      <c r="BK99" s="321">
        <f>ROUND(I99*H99,2)</f>
        <v>0</v>
      </c>
      <c r="BL99" s="185" t="s">
        <v>1022</v>
      </c>
      <c r="BM99" s="320" t="s">
        <v>1032</v>
      </c>
    </row>
    <row r="100" spans="2:47" s="200" customFormat="1" ht="15">
      <c r="B100" s="201"/>
      <c r="D100" s="327" t="s">
        <v>1247</v>
      </c>
      <c r="F100" s="460" t="s">
        <v>1031</v>
      </c>
      <c r="I100" s="323"/>
      <c r="L100" s="201"/>
      <c r="M100" s="324"/>
      <c r="T100" s="225"/>
      <c r="AT100" s="185" t="s">
        <v>1247</v>
      </c>
      <c r="AU100" s="185" t="s">
        <v>266</v>
      </c>
    </row>
    <row r="101" spans="2:65" s="200" customFormat="1" ht="16.5" customHeight="1">
      <c r="B101" s="201"/>
      <c r="C101" s="309" t="s">
        <v>270</v>
      </c>
      <c r="D101" s="309" t="s">
        <v>610</v>
      </c>
      <c r="E101" s="310" t="s">
        <v>1368</v>
      </c>
      <c r="F101" s="311" t="s">
        <v>1369</v>
      </c>
      <c r="G101" s="312" t="s">
        <v>159</v>
      </c>
      <c r="H101" s="313">
        <v>1</v>
      </c>
      <c r="I101" s="314"/>
      <c r="J101" s="315">
        <f>ROUND(I101*H101,2)</f>
        <v>0</v>
      </c>
      <c r="K101" s="311" t="s">
        <v>180</v>
      </c>
      <c r="L101" s="201"/>
      <c r="M101" s="316" t="s">
        <v>180</v>
      </c>
      <c r="N101" s="317" t="s">
        <v>539</v>
      </c>
      <c r="P101" s="318">
        <f>O101*H101</f>
        <v>0</v>
      </c>
      <c r="Q101" s="318">
        <v>0</v>
      </c>
      <c r="R101" s="318">
        <f>Q101*H101</f>
        <v>0</v>
      </c>
      <c r="S101" s="318">
        <v>0</v>
      </c>
      <c r="T101" s="319">
        <f>S101*H101</f>
        <v>0</v>
      </c>
      <c r="AR101" s="320" t="s">
        <v>1022</v>
      </c>
      <c r="AT101" s="320" t="s">
        <v>610</v>
      </c>
      <c r="AU101" s="320" t="s">
        <v>266</v>
      </c>
      <c r="AY101" s="185" t="s">
        <v>608</v>
      </c>
      <c r="BE101" s="321">
        <f>IF(N101="základní",J101,0)</f>
        <v>0</v>
      </c>
      <c r="BF101" s="321">
        <f>IF(N101="snížená",J101,0)</f>
        <v>0</v>
      </c>
      <c r="BG101" s="321">
        <f>IF(N101="zákl. přenesená",J101,0)</f>
        <v>0</v>
      </c>
      <c r="BH101" s="321">
        <f>IF(N101="sníž. přenesená",J101,0)</f>
        <v>0</v>
      </c>
      <c r="BI101" s="321">
        <f>IF(N101="nulová",J101,0)</f>
        <v>0</v>
      </c>
      <c r="BJ101" s="185" t="s">
        <v>260</v>
      </c>
      <c r="BK101" s="321">
        <f>ROUND(I101*H101,2)</f>
        <v>0</v>
      </c>
      <c r="BL101" s="185" t="s">
        <v>1022</v>
      </c>
      <c r="BM101" s="320" t="s">
        <v>1370</v>
      </c>
    </row>
    <row r="102" spans="2:47" s="200" customFormat="1" ht="15">
      <c r="B102" s="201"/>
      <c r="D102" s="327" t="s">
        <v>1247</v>
      </c>
      <c r="F102" s="460" t="s">
        <v>1369</v>
      </c>
      <c r="I102" s="323"/>
      <c r="L102" s="201"/>
      <c r="M102" s="324"/>
      <c r="T102" s="225"/>
      <c r="AT102" s="185" t="s">
        <v>1247</v>
      </c>
      <c r="AU102" s="185" t="s">
        <v>266</v>
      </c>
    </row>
    <row r="103" spans="2:51" s="325" customFormat="1" ht="15">
      <c r="B103" s="326"/>
      <c r="D103" s="327" t="s">
        <v>617</v>
      </c>
      <c r="E103" s="328" t="s">
        <v>180</v>
      </c>
      <c r="F103" s="329" t="s">
        <v>1371</v>
      </c>
      <c r="H103" s="330">
        <v>1</v>
      </c>
      <c r="I103" s="331"/>
      <c r="L103" s="326"/>
      <c r="M103" s="332"/>
      <c r="T103" s="333"/>
      <c r="AT103" s="328" t="s">
        <v>617</v>
      </c>
      <c r="AU103" s="328" t="s">
        <v>266</v>
      </c>
      <c r="AV103" s="325" t="s">
        <v>266</v>
      </c>
      <c r="AW103" s="325" t="s">
        <v>531</v>
      </c>
      <c r="AX103" s="325" t="s">
        <v>260</v>
      </c>
      <c r="AY103" s="328" t="s">
        <v>608</v>
      </c>
    </row>
    <row r="104" spans="2:63" s="296" customFormat="1" ht="22.9" customHeight="1">
      <c r="B104" s="297"/>
      <c r="D104" s="298" t="s">
        <v>565</v>
      </c>
      <c r="E104" s="307" t="s">
        <v>1033</v>
      </c>
      <c r="F104" s="307" t="s">
        <v>199</v>
      </c>
      <c r="I104" s="300"/>
      <c r="J104" s="308">
        <f>BK104</f>
        <v>0</v>
      </c>
      <c r="L104" s="297"/>
      <c r="M104" s="302"/>
      <c r="P104" s="303">
        <f>SUM(P105:P111)</f>
        <v>0</v>
      </c>
      <c r="R104" s="303">
        <f>SUM(R105:R111)</f>
        <v>0</v>
      </c>
      <c r="T104" s="304">
        <f>SUM(T105:T111)</f>
        <v>0</v>
      </c>
      <c r="AR104" s="298" t="s">
        <v>270</v>
      </c>
      <c r="AT104" s="305" t="s">
        <v>565</v>
      </c>
      <c r="AU104" s="305" t="s">
        <v>260</v>
      </c>
      <c r="AY104" s="298" t="s">
        <v>608</v>
      </c>
      <c r="BK104" s="306">
        <f>SUM(BK105:BK111)</f>
        <v>0</v>
      </c>
    </row>
    <row r="105" spans="2:65" s="200" customFormat="1" ht="16.5" customHeight="1">
      <c r="B105" s="201"/>
      <c r="C105" s="309" t="s">
        <v>271</v>
      </c>
      <c r="D105" s="309" t="s">
        <v>610</v>
      </c>
      <c r="E105" s="310" t="s">
        <v>1034</v>
      </c>
      <c r="F105" s="311" t="s">
        <v>1035</v>
      </c>
      <c r="G105" s="312" t="s">
        <v>159</v>
      </c>
      <c r="H105" s="313">
        <v>1</v>
      </c>
      <c r="I105" s="314"/>
      <c r="J105" s="315">
        <f>ROUND(I105*H105,2)</f>
        <v>0</v>
      </c>
      <c r="K105" s="311" t="s">
        <v>180</v>
      </c>
      <c r="L105" s="201"/>
      <c r="M105" s="316" t="s">
        <v>180</v>
      </c>
      <c r="N105" s="317" t="s">
        <v>539</v>
      </c>
      <c r="P105" s="318">
        <f>O105*H105</f>
        <v>0</v>
      </c>
      <c r="Q105" s="318">
        <v>0</v>
      </c>
      <c r="R105" s="318">
        <f>Q105*H105</f>
        <v>0</v>
      </c>
      <c r="S105" s="318">
        <v>0</v>
      </c>
      <c r="T105" s="319">
        <f>S105*H105</f>
        <v>0</v>
      </c>
      <c r="AR105" s="320" t="s">
        <v>1022</v>
      </c>
      <c r="AT105" s="320" t="s">
        <v>610</v>
      </c>
      <c r="AU105" s="320" t="s">
        <v>266</v>
      </c>
      <c r="AY105" s="185" t="s">
        <v>608</v>
      </c>
      <c r="BE105" s="321">
        <f>IF(N105="základní",J105,0)</f>
        <v>0</v>
      </c>
      <c r="BF105" s="321">
        <f>IF(N105="snížená",J105,0)</f>
        <v>0</v>
      </c>
      <c r="BG105" s="321">
        <f>IF(N105="zákl. přenesená",J105,0)</f>
        <v>0</v>
      </c>
      <c r="BH105" s="321">
        <f>IF(N105="sníž. přenesená",J105,0)</f>
        <v>0</v>
      </c>
      <c r="BI105" s="321">
        <f>IF(N105="nulová",J105,0)</f>
        <v>0</v>
      </c>
      <c r="BJ105" s="185" t="s">
        <v>260</v>
      </c>
      <c r="BK105" s="321">
        <f>ROUND(I105*H105,2)</f>
        <v>0</v>
      </c>
      <c r="BL105" s="185" t="s">
        <v>1022</v>
      </c>
      <c r="BM105" s="320" t="s">
        <v>1036</v>
      </c>
    </row>
    <row r="106" spans="2:47" s="200" customFormat="1" ht="15">
      <c r="B106" s="201"/>
      <c r="D106" s="327" t="s">
        <v>1247</v>
      </c>
      <c r="F106" s="460" t="s">
        <v>1035</v>
      </c>
      <c r="I106" s="323"/>
      <c r="L106" s="201"/>
      <c r="M106" s="324"/>
      <c r="T106" s="225"/>
      <c r="AT106" s="185" t="s">
        <v>1247</v>
      </c>
      <c r="AU106" s="185" t="s">
        <v>266</v>
      </c>
    </row>
    <row r="107" spans="2:65" s="200" customFormat="1" ht="16.5" customHeight="1">
      <c r="B107" s="201"/>
      <c r="C107" s="309" t="s">
        <v>272</v>
      </c>
      <c r="D107" s="309" t="s">
        <v>610</v>
      </c>
      <c r="E107" s="310" t="s">
        <v>1037</v>
      </c>
      <c r="F107" s="311" t="s">
        <v>1038</v>
      </c>
      <c r="G107" s="312" t="s">
        <v>159</v>
      </c>
      <c r="H107" s="313">
        <v>1</v>
      </c>
      <c r="I107" s="314"/>
      <c r="J107" s="315">
        <f>ROUND(I107*H107,2)</f>
        <v>0</v>
      </c>
      <c r="K107" s="311" t="s">
        <v>180</v>
      </c>
      <c r="L107" s="201"/>
      <c r="M107" s="316" t="s">
        <v>180</v>
      </c>
      <c r="N107" s="317" t="s">
        <v>539</v>
      </c>
      <c r="P107" s="318">
        <f>O107*H107</f>
        <v>0</v>
      </c>
      <c r="Q107" s="318">
        <v>0</v>
      </c>
      <c r="R107" s="318">
        <f>Q107*H107</f>
        <v>0</v>
      </c>
      <c r="S107" s="318">
        <v>0</v>
      </c>
      <c r="T107" s="319">
        <f>S107*H107</f>
        <v>0</v>
      </c>
      <c r="AR107" s="320" t="s">
        <v>1022</v>
      </c>
      <c r="AT107" s="320" t="s">
        <v>610</v>
      </c>
      <c r="AU107" s="320" t="s">
        <v>266</v>
      </c>
      <c r="AY107" s="185" t="s">
        <v>608</v>
      </c>
      <c r="BE107" s="321">
        <f>IF(N107="základní",J107,0)</f>
        <v>0</v>
      </c>
      <c r="BF107" s="321">
        <f>IF(N107="snížená",J107,0)</f>
        <v>0</v>
      </c>
      <c r="BG107" s="321">
        <f>IF(N107="zákl. přenesená",J107,0)</f>
        <v>0</v>
      </c>
      <c r="BH107" s="321">
        <f>IF(N107="sníž. přenesená",J107,0)</f>
        <v>0</v>
      </c>
      <c r="BI107" s="321">
        <f>IF(N107="nulová",J107,0)</f>
        <v>0</v>
      </c>
      <c r="BJ107" s="185" t="s">
        <v>260</v>
      </c>
      <c r="BK107" s="321">
        <f>ROUND(I107*H107,2)</f>
        <v>0</v>
      </c>
      <c r="BL107" s="185" t="s">
        <v>1022</v>
      </c>
      <c r="BM107" s="320" t="s">
        <v>1039</v>
      </c>
    </row>
    <row r="108" spans="2:47" s="200" customFormat="1" ht="15">
      <c r="B108" s="201"/>
      <c r="D108" s="327" t="s">
        <v>1247</v>
      </c>
      <c r="F108" s="460" t="s">
        <v>1038</v>
      </c>
      <c r="I108" s="323"/>
      <c r="L108" s="201"/>
      <c r="M108" s="324"/>
      <c r="T108" s="225"/>
      <c r="AT108" s="185" t="s">
        <v>1247</v>
      </c>
      <c r="AU108" s="185" t="s">
        <v>266</v>
      </c>
    </row>
    <row r="109" spans="2:51" s="325" customFormat="1" ht="15">
      <c r="B109" s="326"/>
      <c r="D109" s="327" t="s">
        <v>617</v>
      </c>
      <c r="E109" s="328" t="s">
        <v>180</v>
      </c>
      <c r="F109" s="329" t="s">
        <v>1040</v>
      </c>
      <c r="H109" s="330">
        <v>1</v>
      </c>
      <c r="I109" s="331"/>
      <c r="L109" s="326"/>
      <c r="M109" s="332"/>
      <c r="T109" s="333"/>
      <c r="AT109" s="328" t="s">
        <v>617</v>
      </c>
      <c r="AU109" s="328" t="s">
        <v>266</v>
      </c>
      <c r="AV109" s="325" t="s">
        <v>266</v>
      </c>
      <c r="AW109" s="325" t="s">
        <v>531</v>
      </c>
      <c r="AX109" s="325" t="s">
        <v>260</v>
      </c>
      <c r="AY109" s="328" t="s">
        <v>608</v>
      </c>
    </row>
    <row r="110" spans="2:65" s="200" customFormat="1" ht="16.5" customHeight="1">
      <c r="B110" s="201"/>
      <c r="C110" s="309" t="s">
        <v>273</v>
      </c>
      <c r="D110" s="309" t="s">
        <v>610</v>
      </c>
      <c r="E110" s="310" t="s">
        <v>1041</v>
      </c>
      <c r="F110" s="311" t="s">
        <v>1042</v>
      </c>
      <c r="G110" s="312" t="s">
        <v>159</v>
      </c>
      <c r="H110" s="313">
        <v>1</v>
      </c>
      <c r="I110" s="314"/>
      <c r="J110" s="315">
        <f>ROUND(I110*H110,2)</f>
        <v>0</v>
      </c>
      <c r="K110" s="311" t="s">
        <v>180</v>
      </c>
      <c r="L110" s="201"/>
      <c r="M110" s="316" t="s">
        <v>180</v>
      </c>
      <c r="N110" s="317" t="s">
        <v>539</v>
      </c>
      <c r="P110" s="318">
        <f>O110*H110</f>
        <v>0</v>
      </c>
      <c r="Q110" s="318">
        <v>0</v>
      </c>
      <c r="R110" s="318">
        <f>Q110*H110</f>
        <v>0</v>
      </c>
      <c r="S110" s="318">
        <v>0</v>
      </c>
      <c r="T110" s="319">
        <f>S110*H110</f>
        <v>0</v>
      </c>
      <c r="AR110" s="320" t="s">
        <v>1022</v>
      </c>
      <c r="AT110" s="320" t="s">
        <v>610</v>
      </c>
      <c r="AU110" s="320" t="s">
        <v>266</v>
      </c>
      <c r="AY110" s="185" t="s">
        <v>608</v>
      </c>
      <c r="BE110" s="321">
        <f>IF(N110="základní",J110,0)</f>
        <v>0</v>
      </c>
      <c r="BF110" s="321">
        <f>IF(N110="snížená",J110,0)</f>
        <v>0</v>
      </c>
      <c r="BG110" s="321">
        <f>IF(N110="zákl. přenesená",J110,0)</f>
        <v>0</v>
      </c>
      <c r="BH110" s="321">
        <f>IF(N110="sníž. přenesená",J110,0)</f>
        <v>0</v>
      </c>
      <c r="BI110" s="321">
        <f>IF(N110="nulová",J110,0)</f>
        <v>0</v>
      </c>
      <c r="BJ110" s="185" t="s">
        <v>260</v>
      </c>
      <c r="BK110" s="321">
        <f>ROUND(I110*H110,2)</f>
        <v>0</v>
      </c>
      <c r="BL110" s="185" t="s">
        <v>1022</v>
      </c>
      <c r="BM110" s="320" t="s">
        <v>1043</v>
      </c>
    </row>
    <row r="111" spans="2:47" s="200" customFormat="1" ht="15">
      <c r="B111" s="201"/>
      <c r="D111" s="327" t="s">
        <v>1247</v>
      </c>
      <c r="F111" s="460" t="s">
        <v>1042</v>
      </c>
      <c r="I111" s="323"/>
      <c r="L111" s="201"/>
      <c r="M111" s="324"/>
      <c r="T111" s="225"/>
      <c r="AT111" s="185" t="s">
        <v>1247</v>
      </c>
      <c r="AU111" s="185" t="s">
        <v>266</v>
      </c>
    </row>
    <row r="112" spans="2:63" s="296" customFormat="1" ht="22.9" customHeight="1">
      <c r="B112" s="297"/>
      <c r="D112" s="298" t="s">
        <v>565</v>
      </c>
      <c r="E112" s="307" t="s">
        <v>1044</v>
      </c>
      <c r="F112" s="307" t="s">
        <v>1045</v>
      </c>
      <c r="I112" s="300"/>
      <c r="J112" s="308">
        <f>BK112</f>
        <v>0</v>
      </c>
      <c r="L112" s="297"/>
      <c r="M112" s="302"/>
      <c r="P112" s="303">
        <f>SUM(P113:P116)</f>
        <v>0</v>
      </c>
      <c r="R112" s="303">
        <f>SUM(R113:R116)</f>
        <v>0</v>
      </c>
      <c r="T112" s="304">
        <f>SUM(T113:T116)</f>
        <v>0</v>
      </c>
      <c r="AR112" s="298" t="s">
        <v>270</v>
      </c>
      <c r="AT112" s="305" t="s">
        <v>565</v>
      </c>
      <c r="AU112" s="305" t="s">
        <v>260</v>
      </c>
      <c r="AY112" s="298" t="s">
        <v>608</v>
      </c>
      <c r="BK112" s="306">
        <f>SUM(BK113:BK116)</f>
        <v>0</v>
      </c>
    </row>
    <row r="113" spans="2:65" s="200" customFormat="1" ht="16.5" customHeight="1">
      <c r="B113" s="201"/>
      <c r="C113" s="309" t="s">
        <v>274</v>
      </c>
      <c r="D113" s="309" t="s">
        <v>610</v>
      </c>
      <c r="E113" s="310" t="s">
        <v>1046</v>
      </c>
      <c r="F113" s="311" t="s">
        <v>1047</v>
      </c>
      <c r="G113" s="312" t="s">
        <v>159</v>
      </c>
      <c r="H113" s="313">
        <v>1</v>
      </c>
      <c r="I113" s="314"/>
      <c r="J113" s="315">
        <f>ROUND(I113*H113,2)</f>
        <v>0</v>
      </c>
      <c r="K113" s="311" t="s">
        <v>180</v>
      </c>
      <c r="L113" s="201"/>
      <c r="M113" s="316" t="s">
        <v>180</v>
      </c>
      <c r="N113" s="317" t="s">
        <v>539</v>
      </c>
      <c r="P113" s="318">
        <f>O113*H113</f>
        <v>0</v>
      </c>
      <c r="Q113" s="318">
        <v>0</v>
      </c>
      <c r="R113" s="318">
        <f>Q113*H113</f>
        <v>0</v>
      </c>
      <c r="S113" s="318">
        <v>0</v>
      </c>
      <c r="T113" s="319">
        <f>S113*H113</f>
        <v>0</v>
      </c>
      <c r="AR113" s="320" t="s">
        <v>1022</v>
      </c>
      <c r="AT113" s="320" t="s">
        <v>610</v>
      </c>
      <c r="AU113" s="320" t="s">
        <v>266</v>
      </c>
      <c r="AY113" s="185" t="s">
        <v>608</v>
      </c>
      <c r="BE113" s="321">
        <f>IF(N113="základní",J113,0)</f>
        <v>0</v>
      </c>
      <c r="BF113" s="321">
        <f>IF(N113="snížená",J113,0)</f>
        <v>0</v>
      </c>
      <c r="BG113" s="321">
        <f>IF(N113="zákl. přenesená",J113,0)</f>
        <v>0</v>
      </c>
      <c r="BH113" s="321">
        <f>IF(N113="sníž. přenesená",J113,0)</f>
        <v>0</v>
      </c>
      <c r="BI113" s="321">
        <f>IF(N113="nulová",J113,0)</f>
        <v>0</v>
      </c>
      <c r="BJ113" s="185" t="s">
        <v>260</v>
      </c>
      <c r="BK113" s="321">
        <f>ROUND(I113*H113,2)</f>
        <v>0</v>
      </c>
      <c r="BL113" s="185" t="s">
        <v>1022</v>
      </c>
      <c r="BM113" s="320" t="s">
        <v>1048</v>
      </c>
    </row>
    <row r="114" spans="2:47" s="200" customFormat="1" ht="15">
      <c r="B114" s="201"/>
      <c r="D114" s="327" t="s">
        <v>1247</v>
      </c>
      <c r="F114" s="460" t="s">
        <v>1047</v>
      </c>
      <c r="I114" s="323"/>
      <c r="L114" s="201"/>
      <c r="M114" s="324"/>
      <c r="T114" s="225"/>
      <c r="AT114" s="185" t="s">
        <v>1247</v>
      </c>
      <c r="AU114" s="185" t="s">
        <v>266</v>
      </c>
    </row>
    <row r="115" spans="2:65" s="200" customFormat="1" ht="16.5" customHeight="1">
      <c r="B115" s="201"/>
      <c r="C115" s="309" t="s">
        <v>277</v>
      </c>
      <c r="D115" s="309" t="s">
        <v>610</v>
      </c>
      <c r="E115" s="310" t="s">
        <v>1049</v>
      </c>
      <c r="F115" s="311" t="s">
        <v>1050</v>
      </c>
      <c r="G115" s="312" t="s">
        <v>159</v>
      </c>
      <c r="H115" s="313">
        <v>1</v>
      </c>
      <c r="I115" s="314"/>
      <c r="J115" s="315">
        <f>ROUND(I115*H115,2)</f>
        <v>0</v>
      </c>
      <c r="K115" s="311" t="s">
        <v>180</v>
      </c>
      <c r="L115" s="201"/>
      <c r="M115" s="316" t="s">
        <v>180</v>
      </c>
      <c r="N115" s="317" t="s">
        <v>539</v>
      </c>
      <c r="P115" s="318">
        <f>O115*H115</f>
        <v>0</v>
      </c>
      <c r="Q115" s="318">
        <v>0</v>
      </c>
      <c r="R115" s="318">
        <f>Q115*H115</f>
        <v>0</v>
      </c>
      <c r="S115" s="318">
        <v>0</v>
      </c>
      <c r="T115" s="319">
        <f>S115*H115</f>
        <v>0</v>
      </c>
      <c r="AR115" s="320" t="s">
        <v>1022</v>
      </c>
      <c r="AT115" s="320" t="s">
        <v>610</v>
      </c>
      <c r="AU115" s="320" t="s">
        <v>266</v>
      </c>
      <c r="AY115" s="185" t="s">
        <v>608</v>
      </c>
      <c r="BE115" s="321">
        <f>IF(N115="základní",J115,0)</f>
        <v>0</v>
      </c>
      <c r="BF115" s="321">
        <f>IF(N115="snížená",J115,0)</f>
        <v>0</v>
      </c>
      <c r="BG115" s="321">
        <f>IF(N115="zákl. přenesená",J115,0)</f>
        <v>0</v>
      </c>
      <c r="BH115" s="321">
        <f>IF(N115="sníž. přenesená",J115,0)</f>
        <v>0</v>
      </c>
      <c r="BI115" s="321">
        <f>IF(N115="nulová",J115,0)</f>
        <v>0</v>
      </c>
      <c r="BJ115" s="185" t="s">
        <v>260</v>
      </c>
      <c r="BK115" s="321">
        <f>ROUND(I115*H115,2)</f>
        <v>0</v>
      </c>
      <c r="BL115" s="185" t="s">
        <v>1022</v>
      </c>
      <c r="BM115" s="320" t="s">
        <v>1051</v>
      </c>
    </row>
    <row r="116" spans="2:47" s="200" customFormat="1" ht="15">
      <c r="B116" s="201"/>
      <c r="D116" s="327" t="s">
        <v>1247</v>
      </c>
      <c r="F116" s="460" t="s">
        <v>1050</v>
      </c>
      <c r="I116" s="323"/>
      <c r="L116" s="201"/>
      <c r="M116" s="324"/>
      <c r="T116" s="225"/>
      <c r="AT116" s="185" t="s">
        <v>1247</v>
      </c>
      <c r="AU116" s="185" t="s">
        <v>266</v>
      </c>
    </row>
    <row r="117" spans="2:63" s="296" customFormat="1" ht="22.9" customHeight="1">
      <c r="B117" s="297"/>
      <c r="D117" s="298" t="s">
        <v>565</v>
      </c>
      <c r="E117" s="307" t="s">
        <v>1302</v>
      </c>
      <c r="F117" s="307" t="s">
        <v>1303</v>
      </c>
      <c r="I117" s="300"/>
      <c r="J117" s="308">
        <f>BK117</f>
        <v>0</v>
      </c>
      <c r="L117" s="297"/>
      <c r="M117" s="302"/>
      <c r="P117" s="303">
        <f>SUM(P118:P119)</f>
        <v>0</v>
      </c>
      <c r="R117" s="303">
        <f>SUM(R118:R119)</f>
        <v>0</v>
      </c>
      <c r="T117" s="304">
        <f>SUM(T118:T119)</f>
        <v>0</v>
      </c>
      <c r="AR117" s="298" t="s">
        <v>270</v>
      </c>
      <c r="AT117" s="305" t="s">
        <v>565</v>
      </c>
      <c r="AU117" s="305" t="s">
        <v>260</v>
      </c>
      <c r="AY117" s="298" t="s">
        <v>608</v>
      </c>
      <c r="BK117" s="306">
        <f>SUM(BK118:BK119)</f>
        <v>0</v>
      </c>
    </row>
    <row r="118" spans="2:65" s="200" customFormat="1" ht="16.5" customHeight="1">
      <c r="B118" s="201"/>
      <c r="C118" s="309" t="s">
        <v>257</v>
      </c>
      <c r="D118" s="309" t="s">
        <v>610</v>
      </c>
      <c r="E118" s="310" t="s">
        <v>1304</v>
      </c>
      <c r="F118" s="311" t="s">
        <v>1303</v>
      </c>
      <c r="G118" s="312" t="s">
        <v>159</v>
      </c>
      <c r="H118" s="313">
        <v>1</v>
      </c>
      <c r="I118" s="314"/>
      <c r="J118" s="315">
        <f>ROUND(I118*H118,2)</f>
        <v>0</v>
      </c>
      <c r="K118" s="311" t="s">
        <v>180</v>
      </c>
      <c r="L118" s="201"/>
      <c r="M118" s="316" t="s">
        <v>180</v>
      </c>
      <c r="N118" s="317" t="s">
        <v>539</v>
      </c>
      <c r="P118" s="318">
        <f>O118*H118</f>
        <v>0</v>
      </c>
      <c r="Q118" s="318">
        <v>0</v>
      </c>
      <c r="R118" s="318">
        <f>Q118*H118</f>
        <v>0</v>
      </c>
      <c r="S118" s="318">
        <v>0</v>
      </c>
      <c r="T118" s="319">
        <f>S118*H118</f>
        <v>0</v>
      </c>
      <c r="AR118" s="320" t="s">
        <v>1022</v>
      </c>
      <c r="AT118" s="320" t="s">
        <v>610</v>
      </c>
      <c r="AU118" s="320" t="s">
        <v>266</v>
      </c>
      <c r="AY118" s="185" t="s">
        <v>608</v>
      </c>
      <c r="BE118" s="321">
        <f>IF(N118="základní",J118,0)</f>
        <v>0</v>
      </c>
      <c r="BF118" s="321">
        <f>IF(N118="snížená",J118,0)</f>
        <v>0</v>
      </c>
      <c r="BG118" s="321">
        <f>IF(N118="zákl. přenesená",J118,0)</f>
        <v>0</v>
      </c>
      <c r="BH118" s="321">
        <f>IF(N118="sníž. přenesená",J118,0)</f>
        <v>0</v>
      </c>
      <c r="BI118" s="321">
        <f>IF(N118="nulová",J118,0)</f>
        <v>0</v>
      </c>
      <c r="BJ118" s="185" t="s">
        <v>260</v>
      </c>
      <c r="BK118" s="321">
        <f>ROUND(I118*H118,2)</f>
        <v>0</v>
      </c>
      <c r="BL118" s="185" t="s">
        <v>1022</v>
      </c>
      <c r="BM118" s="320" t="s">
        <v>1305</v>
      </c>
    </row>
    <row r="119" spans="2:47" s="200" customFormat="1" ht="15">
      <c r="B119" s="201"/>
      <c r="D119" s="327" t="s">
        <v>1247</v>
      </c>
      <c r="F119" s="460" t="s">
        <v>1303</v>
      </c>
      <c r="I119" s="323"/>
      <c r="L119" s="201"/>
      <c r="M119" s="367"/>
      <c r="N119" s="368"/>
      <c r="O119" s="368"/>
      <c r="P119" s="368"/>
      <c r="Q119" s="368"/>
      <c r="R119" s="368"/>
      <c r="S119" s="368"/>
      <c r="T119" s="369"/>
      <c r="AT119" s="185" t="s">
        <v>1247</v>
      </c>
      <c r="AU119" s="185" t="s">
        <v>266</v>
      </c>
    </row>
    <row r="120" spans="2:12" s="200" customFormat="1" ht="6.95" customHeight="1">
      <c r="B120" s="211"/>
      <c r="C120" s="212"/>
      <c r="D120" s="212"/>
      <c r="E120" s="212"/>
      <c r="F120" s="212"/>
      <c r="G120" s="212"/>
      <c r="H120" s="212"/>
      <c r="I120" s="212"/>
      <c r="J120" s="212"/>
      <c r="K120" s="212"/>
      <c r="L120" s="201"/>
    </row>
  </sheetData>
  <sheetProtection algorithmName="SHA-512" hashValue="2GwGwbJH0M4hFSJRTs9b+93yPvhabJXevCTHuRTPQLeahr+KVSzzwAQsiSMUOFWSPifwQIfzm7wh3Ib39mDkSQ==" saltValue="o4mGg6ToRiK0zRlMsyb7vS8wXrlB/tVqEM2p2O6RixUElmAIkOKsbGj1WiWmg15H+2FVPy+qUp2ehPP5SRo9HA==" spinCount="100000" sheet="1" objects="1" scenarios="1" formatColumns="0" formatRows="0" autoFilter="0"/>
  <autoFilter ref="C89:K119"/>
  <mergeCells count="12">
    <mergeCell ref="E50:H50"/>
    <mergeCell ref="E52:H52"/>
    <mergeCell ref="E54:H54"/>
    <mergeCell ref="E78:H78"/>
    <mergeCell ref="E80:H80"/>
    <mergeCell ref="E82:H82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5C09-BA85-4F01-94A9-F631EB1C9494}">
  <sheetPr>
    <pageSetUpPr fitToPage="1"/>
  </sheetPr>
  <dimension ref="B2:K219"/>
  <sheetViews>
    <sheetView showGridLines="0" tabSelected="1" zoomScale="110" zoomScaleNormal="110" workbookViewId="0" topLeftCell="A48">
      <selection activeCell="H80" sqref="H80"/>
    </sheetView>
  </sheetViews>
  <sheetFormatPr defaultColWidth="9.140625" defaultRowHeight="15"/>
  <cols>
    <col min="1" max="1" width="7.140625" style="383" customWidth="1"/>
    <col min="2" max="2" width="1.421875" style="383" customWidth="1"/>
    <col min="3" max="4" width="4.28125" style="383" customWidth="1"/>
    <col min="5" max="5" width="10.00390625" style="383" customWidth="1"/>
    <col min="6" max="6" width="7.8515625" style="383" customWidth="1"/>
    <col min="7" max="7" width="4.28125" style="383" customWidth="1"/>
    <col min="8" max="8" width="66.7109375" style="383" customWidth="1"/>
    <col min="9" max="10" width="17.140625" style="383" customWidth="1"/>
    <col min="11" max="11" width="1.421875" style="383" customWidth="1"/>
    <col min="12" max="16384" width="9.140625" style="184" customWidth="1"/>
  </cols>
  <sheetData>
    <row r="1" s="184" customFormat="1" ht="37.5" customHeight="1"/>
    <row r="2" spans="2:11" s="184" customFormat="1" ht="7.5" customHeight="1">
      <c r="B2" s="398"/>
      <c r="C2" s="399"/>
      <c r="D2" s="399"/>
      <c r="E2" s="399"/>
      <c r="F2" s="399"/>
      <c r="G2" s="399"/>
      <c r="H2" s="399"/>
      <c r="I2" s="399"/>
      <c r="J2" s="399"/>
      <c r="K2" s="400"/>
    </row>
    <row r="3" spans="2:11" s="370" customFormat="1" ht="45" customHeight="1">
      <c r="B3" s="401"/>
      <c r="C3" s="629" t="s">
        <v>1052</v>
      </c>
      <c r="D3" s="629"/>
      <c r="E3" s="629"/>
      <c r="F3" s="629"/>
      <c r="G3" s="629"/>
      <c r="H3" s="629"/>
      <c r="I3" s="629"/>
      <c r="J3" s="629"/>
      <c r="K3" s="402"/>
    </row>
    <row r="4" spans="2:11" s="184" customFormat="1" ht="25.5" customHeight="1">
      <c r="B4" s="403"/>
      <c r="C4" s="630" t="s">
        <v>1053</v>
      </c>
      <c r="D4" s="630"/>
      <c r="E4" s="630"/>
      <c r="F4" s="630"/>
      <c r="G4" s="630"/>
      <c r="H4" s="630"/>
      <c r="I4" s="630"/>
      <c r="J4" s="630"/>
      <c r="K4" s="404"/>
    </row>
    <row r="5" spans="2:11" s="184" customFormat="1" ht="5.25" customHeight="1">
      <c r="B5" s="403"/>
      <c r="C5" s="405"/>
      <c r="D5" s="405"/>
      <c r="E5" s="405"/>
      <c r="F5" s="405"/>
      <c r="G5" s="405"/>
      <c r="H5" s="405"/>
      <c r="I5" s="405"/>
      <c r="J5" s="405"/>
      <c r="K5" s="404"/>
    </row>
    <row r="6" spans="2:11" s="184" customFormat="1" ht="15" customHeight="1">
      <c r="B6" s="403"/>
      <c r="C6" s="628" t="s">
        <v>1054</v>
      </c>
      <c r="D6" s="628"/>
      <c r="E6" s="628"/>
      <c r="F6" s="628"/>
      <c r="G6" s="628"/>
      <c r="H6" s="628"/>
      <c r="I6" s="628"/>
      <c r="J6" s="628"/>
      <c r="K6" s="404"/>
    </row>
    <row r="7" spans="2:11" s="184" customFormat="1" ht="15" customHeight="1">
      <c r="B7" s="406"/>
      <c r="C7" s="628" t="s">
        <v>1055</v>
      </c>
      <c r="D7" s="628"/>
      <c r="E7" s="628"/>
      <c r="F7" s="628"/>
      <c r="G7" s="628"/>
      <c r="H7" s="628"/>
      <c r="I7" s="628"/>
      <c r="J7" s="628"/>
      <c r="K7" s="404"/>
    </row>
    <row r="8" spans="2:11" s="184" customFormat="1" ht="12.75" customHeight="1">
      <c r="B8" s="406"/>
      <c r="C8" s="371"/>
      <c r="D8" s="371"/>
      <c r="E8" s="371"/>
      <c r="F8" s="371"/>
      <c r="G8" s="371"/>
      <c r="H8" s="371"/>
      <c r="I8" s="371"/>
      <c r="J8" s="371"/>
      <c r="K8" s="404"/>
    </row>
    <row r="9" spans="2:11" s="184" customFormat="1" ht="15" customHeight="1">
      <c r="B9" s="406"/>
      <c r="C9" s="628" t="s">
        <v>1056</v>
      </c>
      <c r="D9" s="628"/>
      <c r="E9" s="628"/>
      <c r="F9" s="628"/>
      <c r="G9" s="628"/>
      <c r="H9" s="628"/>
      <c r="I9" s="628"/>
      <c r="J9" s="628"/>
      <c r="K9" s="404"/>
    </row>
    <row r="10" spans="2:11" s="184" customFormat="1" ht="15" customHeight="1">
      <c r="B10" s="406"/>
      <c r="C10" s="371"/>
      <c r="D10" s="628" t="s">
        <v>1057</v>
      </c>
      <c r="E10" s="628"/>
      <c r="F10" s="628"/>
      <c r="G10" s="628"/>
      <c r="H10" s="628"/>
      <c r="I10" s="628"/>
      <c r="J10" s="628"/>
      <c r="K10" s="404"/>
    </row>
    <row r="11" spans="2:11" s="184" customFormat="1" ht="15" customHeight="1">
      <c r="B11" s="406"/>
      <c r="C11" s="372"/>
      <c r="D11" s="628" t="s">
        <v>1058</v>
      </c>
      <c r="E11" s="628"/>
      <c r="F11" s="628"/>
      <c r="G11" s="628"/>
      <c r="H11" s="628"/>
      <c r="I11" s="628"/>
      <c r="J11" s="628"/>
      <c r="K11" s="404"/>
    </row>
    <row r="12" spans="2:11" s="184" customFormat="1" ht="15" customHeight="1">
      <c r="B12" s="406"/>
      <c r="C12" s="372"/>
      <c r="D12" s="371"/>
      <c r="E12" s="371"/>
      <c r="F12" s="371"/>
      <c r="G12" s="371"/>
      <c r="H12" s="371"/>
      <c r="I12" s="371"/>
      <c r="J12" s="371"/>
      <c r="K12" s="404"/>
    </row>
    <row r="13" spans="2:11" s="184" customFormat="1" ht="15" customHeight="1">
      <c r="B13" s="406"/>
      <c r="C13" s="372"/>
      <c r="D13" s="373" t="s">
        <v>1059</v>
      </c>
      <c r="E13" s="371"/>
      <c r="F13" s="371"/>
      <c r="G13" s="371"/>
      <c r="H13" s="371"/>
      <c r="I13" s="371"/>
      <c r="J13" s="371"/>
      <c r="K13" s="404"/>
    </row>
    <row r="14" spans="2:11" s="184" customFormat="1" ht="12.75" customHeight="1">
      <c r="B14" s="406"/>
      <c r="C14" s="372"/>
      <c r="D14" s="372"/>
      <c r="E14" s="372"/>
      <c r="F14" s="372"/>
      <c r="G14" s="372"/>
      <c r="H14" s="372"/>
      <c r="I14" s="372"/>
      <c r="J14" s="372"/>
      <c r="K14" s="404"/>
    </row>
    <row r="15" spans="2:11" s="184" customFormat="1" ht="15" customHeight="1">
      <c r="B15" s="406"/>
      <c r="C15" s="372"/>
      <c r="D15" s="628" t="s">
        <v>1060</v>
      </c>
      <c r="E15" s="628"/>
      <c r="F15" s="628"/>
      <c r="G15" s="628"/>
      <c r="H15" s="628"/>
      <c r="I15" s="628"/>
      <c r="J15" s="628"/>
      <c r="K15" s="404"/>
    </row>
    <row r="16" spans="2:11" s="184" customFormat="1" ht="15" customHeight="1">
      <c r="B16" s="406"/>
      <c r="C16" s="372"/>
      <c r="D16" s="628" t="s">
        <v>1061</v>
      </c>
      <c r="E16" s="628"/>
      <c r="F16" s="628"/>
      <c r="G16" s="628"/>
      <c r="H16" s="628"/>
      <c r="I16" s="628"/>
      <c r="J16" s="628"/>
      <c r="K16" s="404"/>
    </row>
    <row r="17" spans="2:11" s="184" customFormat="1" ht="15" customHeight="1">
      <c r="B17" s="406"/>
      <c r="C17" s="372"/>
      <c r="D17" s="628" t="s">
        <v>1062</v>
      </c>
      <c r="E17" s="628"/>
      <c r="F17" s="628"/>
      <c r="G17" s="628"/>
      <c r="H17" s="628"/>
      <c r="I17" s="628"/>
      <c r="J17" s="628"/>
      <c r="K17" s="404"/>
    </row>
    <row r="18" spans="2:11" s="184" customFormat="1" ht="15" customHeight="1">
      <c r="B18" s="406"/>
      <c r="C18" s="372"/>
      <c r="D18" s="372"/>
      <c r="E18" s="374" t="s">
        <v>571</v>
      </c>
      <c r="F18" s="628" t="s">
        <v>1063</v>
      </c>
      <c r="G18" s="628"/>
      <c r="H18" s="628"/>
      <c r="I18" s="628"/>
      <c r="J18" s="628"/>
      <c r="K18" s="404"/>
    </row>
    <row r="19" spans="2:11" s="184" customFormat="1" ht="15" customHeight="1">
      <c r="B19" s="406"/>
      <c r="C19" s="372"/>
      <c r="D19" s="372"/>
      <c r="E19" s="374" t="s">
        <v>1064</v>
      </c>
      <c r="F19" s="628" t="s">
        <v>1065</v>
      </c>
      <c r="G19" s="628"/>
      <c r="H19" s="628"/>
      <c r="I19" s="628"/>
      <c r="J19" s="628"/>
      <c r="K19" s="404"/>
    </row>
    <row r="20" spans="2:11" s="184" customFormat="1" ht="15" customHeight="1">
      <c r="B20" s="406"/>
      <c r="C20" s="372"/>
      <c r="D20" s="372"/>
      <c r="E20" s="374" t="s">
        <v>1066</v>
      </c>
      <c r="F20" s="628" t="s">
        <v>1067</v>
      </c>
      <c r="G20" s="628"/>
      <c r="H20" s="628"/>
      <c r="I20" s="628"/>
      <c r="J20" s="628"/>
      <c r="K20" s="404"/>
    </row>
    <row r="21" spans="2:11" s="184" customFormat="1" ht="15" customHeight="1">
      <c r="B21" s="406"/>
      <c r="C21" s="372"/>
      <c r="D21" s="372"/>
      <c r="E21" s="374" t="s">
        <v>1068</v>
      </c>
      <c r="F21" s="628" t="s">
        <v>1069</v>
      </c>
      <c r="G21" s="628"/>
      <c r="H21" s="628"/>
      <c r="I21" s="628"/>
      <c r="J21" s="628"/>
      <c r="K21" s="404"/>
    </row>
    <row r="22" spans="2:11" s="184" customFormat="1" ht="15" customHeight="1">
      <c r="B22" s="406"/>
      <c r="C22" s="372"/>
      <c r="D22" s="372"/>
      <c r="E22" s="374" t="s">
        <v>1070</v>
      </c>
      <c r="F22" s="628" t="s">
        <v>166</v>
      </c>
      <c r="G22" s="628"/>
      <c r="H22" s="628"/>
      <c r="I22" s="628"/>
      <c r="J22" s="628"/>
      <c r="K22" s="404"/>
    </row>
    <row r="23" spans="2:11" s="184" customFormat="1" ht="15" customHeight="1">
      <c r="B23" s="406"/>
      <c r="C23" s="372"/>
      <c r="D23" s="372"/>
      <c r="E23" s="374" t="s">
        <v>574</v>
      </c>
      <c r="F23" s="628" t="s">
        <v>1071</v>
      </c>
      <c r="G23" s="628"/>
      <c r="H23" s="628"/>
      <c r="I23" s="628"/>
      <c r="J23" s="628"/>
      <c r="K23" s="404"/>
    </row>
    <row r="24" spans="2:11" s="184" customFormat="1" ht="12.75" customHeight="1">
      <c r="B24" s="406"/>
      <c r="C24" s="372"/>
      <c r="D24" s="372"/>
      <c r="E24" s="372"/>
      <c r="F24" s="372"/>
      <c r="G24" s="372"/>
      <c r="H24" s="372"/>
      <c r="I24" s="372"/>
      <c r="J24" s="372"/>
      <c r="K24" s="404"/>
    </row>
    <row r="25" spans="2:11" s="184" customFormat="1" ht="15" customHeight="1">
      <c r="B25" s="406"/>
      <c r="C25" s="628" t="s">
        <v>1072</v>
      </c>
      <c r="D25" s="628"/>
      <c r="E25" s="628"/>
      <c r="F25" s="628"/>
      <c r="G25" s="628"/>
      <c r="H25" s="628"/>
      <c r="I25" s="628"/>
      <c r="J25" s="628"/>
      <c r="K25" s="404"/>
    </row>
    <row r="26" spans="2:11" s="184" customFormat="1" ht="15" customHeight="1">
      <c r="B26" s="406"/>
      <c r="C26" s="628" t="s">
        <v>1073</v>
      </c>
      <c r="D26" s="628"/>
      <c r="E26" s="628"/>
      <c r="F26" s="628"/>
      <c r="G26" s="628"/>
      <c r="H26" s="628"/>
      <c r="I26" s="628"/>
      <c r="J26" s="628"/>
      <c r="K26" s="404"/>
    </row>
    <row r="27" spans="2:11" s="184" customFormat="1" ht="15" customHeight="1">
      <c r="B27" s="406"/>
      <c r="C27" s="371"/>
      <c r="D27" s="628" t="s">
        <v>1074</v>
      </c>
      <c r="E27" s="628"/>
      <c r="F27" s="628"/>
      <c r="G27" s="628"/>
      <c r="H27" s="628"/>
      <c r="I27" s="628"/>
      <c r="J27" s="628"/>
      <c r="K27" s="404"/>
    </row>
    <row r="28" spans="2:11" s="184" customFormat="1" ht="15" customHeight="1">
      <c r="B28" s="406"/>
      <c r="C28" s="372"/>
      <c r="D28" s="628" t="s">
        <v>1075</v>
      </c>
      <c r="E28" s="628"/>
      <c r="F28" s="628"/>
      <c r="G28" s="628"/>
      <c r="H28" s="628"/>
      <c r="I28" s="628"/>
      <c r="J28" s="628"/>
      <c r="K28" s="404"/>
    </row>
    <row r="29" spans="2:11" s="184" customFormat="1" ht="12.75" customHeight="1">
      <c r="B29" s="406"/>
      <c r="C29" s="372"/>
      <c r="D29" s="372"/>
      <c r="E29" s="372"/>
      <c r="F29" s="372"/>
      <c r="G29" s="372"/>
      <c r="H29" s="372"/>
      <c r="I29" s="372"/>
      <c r="J29" s="372"/>
      <c r="K29" s="404"/>
    </row>
    <row r="30" spans="2:11" s="184" customFormat="1" ht="15" customHeight="1">
      <c r="B30" s="406"/>
      <c r="C30" s="372"/>
      <c r="D30" s="628" t="s">
        <v>1076</v>
      </c>
      <c r="E30" s="628"/>
      <c r="F30" s="628"/>
      <c r="G30" s="628"/>
      <c r="H30" s="628"/>
      <c r="I30" s="628"/>
      <c r="J30" s="628"/>
      <c r="K30" s="404"/>
    </row>
    <row r="31" spans="2:11" s="184" customFormat="1" ht="15" customHeight="1">
      <c r="B31" s="406"/>
      <c r="C31" s="372"/>
      <c r="D31" s="628" t="s">
        <v>1077</v>
      </c>
      <c r="E31" s="628"/>
      <c r="F31" s="628"/>
      <c r="G31" s="628"/>
      <c r="H31" s="628"/>
      <c r="I31" s="628"/>
      <c r="J31" s="628"/>
      <c r="K31" s="404"/>
    </row>
    <row r="32" spans="2:11" s="184" customFormat="1" ht="12.75" customHeight="1">
      <c r="B32" s="406"/>
      <c r="C32" s="372"/>
      <c r="D32" s="372"/>
      <c r="E32" s="372"/>
      <c r="F32" s="372"/>
      <c r="G32" s="372"/>
      <c r="H32" s="372"/>
      <c r="I32" s="372"/>
      <c r="J32" s="372"/>
      <c r="K32" s="404"/>
    </row>
    <row r="33" spans="2:11" s="184" customFormat="1" ht="15" customHeight="1">
      <c r="B33" s="406"/>
      <c r="C33" s="372"/>
      <c r="D33" s="628" t="s">
        <v>1078</v>
      </c>
      <c r="E33" s="628"/>
      <c r="F33" s="628"/>
      <c r="G33" s="628"/>
      <c r="H33" s="628"/>
      <c r="I33" s="628"/>
      <c r="J33" s="628"/>
      <c r="K33" s="404"/>
    </row>
    <row r="34" spans="2:11" s="184" customFormat="1" ht="15" customHeight="1">
      <c r="B34" s="406"/>
      <c r="C34" s="372"/>
      <c r="D34" s="628" t="s">
        <v>1079</v>
      </c>
      <c r="E34" s="628"/>
      <c r="F34" s="628"/>
      <c r="G34" s="628"/>
      <c r="H34" s="628"/>
      <c r="I34" s="628"/>
      <c r="J34" s="628"/>
      <c r="K34" s="404"/>
    </row>
    <row r="35" spans="2:11" s="184" customFormat="1" ht="15" customHeight="1">
      <c r="B35" s="406"/>
      <c r="C35" s="372"/>
      <c r="D35" s="628" t="s">
        <v>1080</v>
      </c>
      <c r="E35" s="628"/>
      <c r="F35" s="628"/>
      <c r="G35" s="628"/>
      <c r="H35" s="628"/>
      <c r="I35" s="628"/>
      <c r="J35" s="628"/>
      <c r="K35" s="404"/>
    </row>
    <row r="36" spans="2:11" s="184" customFormat="1" ht="15" customHeight="1">
      <c r="B36" s="406"/>
      <c r="C36" s="372"/>
      <c r="D36" s="371"/>
      <c r="E36" s="373" t="s">
        <v>597</v>
      </c>
      <c r="F36" s="371"/>
      <c r="G36" s="628" t="s">
        <v>1081</v>
      </c>
      <c r="H36" s="628"/>
      <c r="I36" s="628"/>
      <c r="J36" s="628"/>
      <c r="K36" s="404"/>
    </row>
    <row r="37" spans="2:11" s="184" customFormat="1" ht="30.75" customHeight="1">
      <c r="B37" s="406"/>
      <c r="C37" s="372"/>
      <c r="D37" s="371"/>
      <c r="E37" s="373" t="s">
        <v>1082</v>
      </c>
      <c r="F37" s="371"/>
      <c r="G37" s="628" t="s">
        <v>1242</v>
      </c>
      <c r="H37" s="628"/>
      <c r="I37" s="628"/>
      <c r="J37" s="628"/>
      <c r="K37" s="404"/>
    </row>
    <row r="38" spans="2:11" s="184" customFormat="1" ht="15" customHeight="1">
      <c r="B38" s="406"/>
      <c r="C38" s="372"/>
      <c r="D38" s="371"/>
      <c r="E38" s="373" t="s">
        <v>23</v>
      </c>
      <c r="F38" s="371"/>
      <c r="G38" s="628" t="s">
        <v>1083</v>
      </c>
      <c r="H38" s="628"/>
      <c r="I38" s="628"/>
      <c r="J38" s="628"/>
      <c r="K38" s="404"/>
    </row>
    <row r="39" spans="2:11" s="184" customFormat="1" ht="15" customHeight="1">
      <c r="B39" s="406"/>
      <c r="C39" s="372"/>
      <c r="D39" s="371"/>
      <c r="E39" s="373" t="s">
        <v>24</v>
      </c>
      <c r="F39" s="371"/>
      <c r="G39" s="628" t="s">
        <v>1084</v>
      </c>
      <c r="H39" s="628"/>
      <c r="I39" s="628"/>
      <c r="J39" s="628"/>
      <c r="K39" s="404"/>
    </row>
    <row r="40" spans="2:11" s="184" customFormat="1" ht="15" customHeight="1">
      <c r="B40" s="406"/>
      <c r="C40" s="372"/>
      <c r="D40" s="371"/>
      <c r="E40" s="373" t="s">
        <v>25</v>
      </c>
      <c r="F40" s="371"/>
      <c r="G40" s="628" t="s">
        <v>1085</v>
      </c>
      <c r="H40" s="628"/>
      <c r="I40" s="628"/>
      <c r="J40" s="628"/>
      <c r="K40" s="404"/>
    </row>
    <row r="41" spans="2:11" s="184" customFormat="1" ht="15" customHeight="1">
      <c r="B41" s="406"/>
      <c r="C41" s="372"/>
      <c r="D41" s="371"/>
      <c r="E41" s="373" t="s">
        <v>233</v>
      </c>
      <c r="F41" s="371"/>
      <c r="G41" s="628" t="s">
        <v>1086</v>
      </c>
      <c r="H41" s="628"/>
      <c r="I41" s="628"/>
      <c r="J41" s="628"/>
      <c r="K41" s="404"/>
    </row>
    <row r="42" spans="2:11" s="184" customFormat="1" ht="15" customHeight="1">
      <c r="B42" s="406"/>
      <c r="C42" s="372"/>
      <c r="D42" s="371"/>
      <c r="E42" s="373" t="s">
        <v>1087</v>
      </c>
      <c r="F42" s="371"/>
      <c r="G42" s="628" t="s">
        <v>1088</v>
      </c>
      <c r="H42" s="628"/>
      <c r="I42" s="628"/>
      <c r="J42" s="628"/>
      <c r="K42" s="404"/>
    </row>
    <row r="43" spans="2:11" s="184" customFormat="1" ht="15" customHeight="1">
      <c r="B43" s="406"/>
      <c r="C43" s="372"/>
      <c r="D43" s="371"/>
      <c r="E43" s="373"/>
      <c r="F43" s="371"/>
      <c r="G43" s="628" t="s">
        <v>1089</v>
      </c>
      <c r="H43" s="628"/>
      <c r="I43" s="628"/>
      <c r="J43" s="628"/>
      <c r="K43" s="404"/>
    </row>
    <row r="44" spans="2:11" s="184" customFormat="1" ht="15" customHeight="1">
      <c r="B44" s="406"/>
      <c r="C44" s="372"/>
      <c r="D44" s="371"/>
      <c r="E44" s="373" t="s">
        <v>1090</v>
      </c>
      <c r="F44" s="371"/>
      <c r="G44" s="628" t="s">
        <v>1091</v>
      </c>
      <c r="H44" s="628"/>
      <c r="I44" s="628"/>
      <c r="J44" s="628"/>
      <c r="K44" s="404"/>
    </row>
    <row r="45" spans="2:11" s="184" customFormat="1" ht="15" customHeight="1">
      <c r="B45" s="406"/>
      <c r="C45" s="372"/>
      <c r="D45" s="371"/>
      <c r="E45" s="373" t="s">
        <v>599</v>
      </c>
      <c r="F45" s="371"/>
      <c r="G45" s="628" t="s">
        <v>1092</v>
      </c>
      <c r="H45" s="628"/>
      <c r="I45" s="628"/>
      <c r="J45" s="628"/>
      <c r="K45" s="404"/>
    </row>
    <row r="46" spans="2:11" s="184" customFormat="1" ht="12.75" customHeight="1">
      <c r="B46" s="406"/>
      <c r="C46" s="372"/>
      <c r="D46" s="371"/>
      <c r="E46" s="371"/>
      <c r="F46" s="371"/>
      <c r="G46" s="371"/>
      <c r="H46" s="371"/>
      <c r="I46" s="371"/>
      <c r="J46" s="371"/>
      <c r="K46" s="404"/>
    </row>
    <row r="47" spans="2:11" s="184" customFormat="1" ht="15" customHeight="1">
      <c r="B47" s="406"/>
      <c r="C47" s="372"/>
      <c r="D47" s="628" t="s">
        <v>1093</v>
      </c>
      <c r="E47" s="628"/>
      <c r="F47" s="628"/>
      <c r="G47" s="628"/>
      <c r="H47" s="628"/>
      <c r="I47" s="628"/>
      <c r="J47" s="628"/>
      <c r="K47" s="404"/>
    </row>
    <row r="48" spans="2:11" s="184" customFormat="1" ht="15" customHeight="1">
      <c r="B48" s="406"/>
      <c r="C48" s="372"/>
      <c r="D48" s="372"/>
      <c r="E48" s="628" t="s">
        <v>1094</v>
      </c>
      <c r="F48" s="628"/>
      <c r="G48" s="628"/>
      <c r="H48" s="628"/>
      <c r="I48" s="628"/>
      <c r="J48" s="628"/>
      <c r="K48" s="404"/>
    </row>
    <row r="49" spans="2:11" s="184" customFormat="1" ht="15" customHeight="1">
      <c r="B49" s="406"/>
      <c r="C49" s="372"/>
      <c r="D49" s="372"/>
      <c r="E49" s="628" t="s">
        <v>1095</v>
      </c>
      <c r="F49" s="628"/>
      <c r="G49" s="628"/>
      <c r="H49" s="628"/>
      <c r="I49" s="628"/>
      <c r="J49" s="628"/>
      <c r="K49" s="404"/>
    </row>
    <row r="50" spans="2:11" s="184" customFormat="1" ht="15" customHeight="1">
      <c r="B50" s="406"/>
      <c r="C50" s="372"/>
      <c r="D50" s="372"/>
      <c r="E50" s="628" t="s">
        <v>1096</v>
      </c>
      <c r="F50" s="628"/>
      <c r="G50" s="628"/>
      <c r="H50" s="628"/>
      <c r="I50" s="628"/>
      <c r="J50" s="628"/>
      <c r="K50" s="404"/>
    </row>
    <row r="51" spans="2:11" s="184" customFormat="1" ht="15" customHeight="1">
      <c r="B51" s="406"/>
      <c r="C51" s="372"/>
      <c r="D51" s="628" t="s">
        <v>1097</v>
      </c>
      <c r="E51" s="628"/>
      <c r="F51" s="628"/>
      <c r="G51" s="628"/>
      <c r="H51" s="628"/>
      <c r="I51" s="628"/>
      <c r="J51" s="628"/>
      <c r="K51" s="404"/>
    </row>
    <row r="52" spans="2:11" s="184" customFormat="1" ht="25.5" customHeight="1">
      <c r="B52" s="403"/>
      <c r="C52" s="630" t="s">
        <v>1098</v>
      </c>
      <c r="D52" s="630"/>
      <c r="E52" s="630"/>
      <c r="F52" s="630"/>
      <c r="G52" s="630"/>
      <c r="H52" s="630"/>
      <c r="I52" s="630"/>
      <c r="J52" s="630"/>
      <c r="K52" s="404"/>
    </row>
    <row r="53" spans="2:11" s="184" customFormat="1" ht="5.25" customHeight="1">
      <c r="B53" s="403"/>
      <c r="C53" s="405"/>
      <c r="D53" s="405"/>
      <c r="E53" s="405"/>
      <c r="F53" s="405"/>
      <c r="G53" s="405"/>
      <c r="H53" s="405"/>
      <c r="I53" s="405"/>
      <c r="J53" s="405"/>
      <c r="K53" s="404"/>
    </row>
    <row r="54" spans="2:11" s="184" customFormat="1" ht="15" customHeight="1">
      <c r="B54" s="403"/>
      <c r="C54" s="628" t="s">
        <v>1099</v>
      </c>
      <c r="D54" s="628"/>
      <c r="E54" s="628"/>
      <c r="F54" s="628"/>
      <c r="G54" s="628"/>
      <c r="H54" s="628"/>
      <c r="I54" s="628"/>
      <c r="J54" s="628"/>
      <c r="K54" s="404"/>
    </row>
    <row r="55" spans="2:11" s="184" customFormat="1" ht="15" customHeight="1">
      <c r="B55" s="403"/>
      <c r="C55" s="628" t="s">
        <v>1100</v>
      </c>
      <c r="D55" s="628"/>
      <c r="E55" s="628"/>
      <c r="F55" s="628"/>
      <c r="G55" s="628"/>
      <c r="H55" s="628"/>
      <c r="I55" s="628"/>
      <c r="J55" s="628"/>
      <c r="K55" s="404"/>
    </row>
    <row r="56" spans="2:11" s="184" customFormat="1" ht="12.75" customHeight="1">
      <c r="B56" s="403"/>
      <c r="C56" s="371"/>
      <c r="D56" s="371"/>
      <c r="E56" s="371"/>
      <c r="F56" s="371"/>
      <c r="G56" s="371"/>
      <c r="H56" s="371"/>
      <c r="I56" s="371"/>
      <c r="J56" s="371"/>
      <c r="K56" s="404"/>
    </row>
    <row r="57" spans="2:11" s="184" customFormat="1" ht="15" customHeight="1">
      <c r="B57" s="403"/>
      <c r="C57" s="628" t="s">
        <v>1101</v>
      </c>
      <c r="D57" s="628"/>
      <c r="E57" s="628"/>
      <c r="F57" s="628"/>
      <c r="G57" s="628"/>
      <c r="H57" s="628"/>
      <c r="I57" s="628"/>
      <c r="J57" s="628"/>
      <c r="K57" s="404"/>
    </row>
    <row r="58" spans="2:11" s="184" customFormat="1" ht="15" customHeight="1">
      <c r="B58" s="403"/>
      <c r="C58" s="372"/>
      <c r="D58" s="628" t="s">
        <v>1102</v>
      </c>
      <c r="E58" s="628"/>
      <c r="F58" s="628"/>
      <c r="G58" s="628"/>
      <c r="H58" s="628"/>
      <c r="I58" s="628"/>
      <c r="J58" s="628"/>
      <c r="K58" s="404"/>
    </row>
    <row r="59" spans="2:11" s="184" customFormat="1" ht="15" customHeight="1">
      <c r="B59" s="403"/>
      <c r="C59" s="372"/>
      <c r="D59" s="628" t="s">
        <v>1103</v>
      </c>
      <c r="E59" s="628"/>
      <c r="F59" s="628"/>
      <c r="G59" s="628"/>
      <c r="H59" s="628"/>
      <c r="I59" s="628"/>
      <c r="J59" s="628"/>
      <c r="K59" s="404"/>
    </row>
    <row r="60" spans="2:11" s="184" customFormat="1" ht="15" customHeight="1">
      <c r="B60" s="403"/>
      <c r="C60" s="372"/>
      <c r="D60" s="628" t="s">
        <v>1104</v>
      </c>
      <c r="E60" s="628"/>
      <c r="F60" s="628"/>
      <c r="G60" s="628"/>
      <c r="H60" s="628"/>
      <c r="I60" s="628"/>
      <c r="J60" s="628"/>
      <c r="K60" s="404"/>
    </row>
    <row r="61" spans="2:11" s="184" customFormat="1" ht="15" customHeight="1">
      <c r="B61" s="403"/>
      <c r="C61" s="372"/>
      <c r="D61" s="628" t="s">
        <v>1105</v>
      </c>
      <c r="E61" s="628"/>
      <c r="F61" s="628"/>
      <c r="G61" s="628"/>
      <c r="H61" s="628"/>
      <c r="I61" s="628"/>
      <c r="J61" s="628"/>
      <c r="K61" s="404"/>
    </row>
    <row r="62" spans="2:11" s="184" customFormat="1" ht="15" customHeight="1">
      <c r="B62" s="403"/>
      <c r="C62" s="372"/>
      <c r="D62" s="632" t="s">
        <v>1106</v>
      </c>
      <c r="E62" s="632"/>
      <c r="F62" s="632"/>
      <c r="G62" s="632"/>
      <c r="H62" s="632"/>
      <c r="I62" s="632"/>
      <c r="J62" s="632"/>
      <c r="K62" s="404"/>
    </row>
    <row r="63" spans="2:11" s="184" customFormat="1" ht="15" customHeight="1">
      <c r="B63" s="403"/>
      <c r="C63" s="372"/>
      <c r="D63" s="628" t="s">
        <v>1107</v>
      </c>
      <c r="E63" s="628"/>
      <c r="F63" s="628"/>
      <c r="G63" s="628"/>
      <c r="H63" s="628"/>
      <c r="I63" s="628"/>
      <c r="J63" s="628"/>
      <c r="K63" s="404"/>
    </row>
    <row r="64" spans="2:11" s="184" customFormat="1" ht="12.75" customHeight="1">
      <c r="B64" s="403"/>
      <c r="C64" s="372"/>
      <c r="D64" s="372"/>
      <c r="E64" s="375"/>
      <c r="F64" s="372"/>
      <c r="G64" s="372"/>
      <c r="H64" s="372"/>
      <c r="I64" s="372"/>
      <c r="J64" s="372"/>
      <c r="K64" s="404"/>
    </row>
    <row r="65" spans="2:11" s="184" customFormat="1" ht="15" customHeight="1">
      <c r="B65" s="403"/>
      <c r="C65" s="372"/>
      <c r="D65" s="628" t="s">
        <v>1108</v>
      </c>
      <c r="E65" s="628"/>
      <c r="F65" s="628"/>
      <c r="G65" s="628"/>
      <c r="H65" s="628"/>
      <c r="I65" s="628"/>
      <c r="J65" s="628"/>
      <c r="K65" s="404"/>
    </row>
    <row r="66" spans="2:11" s="184" customFormat="1" ht="15" customHeight="1">
      <c r="B66" s="403"/>
      <c r="C66" s="372"/>
      <c r="D66" s="632" t="s">
        <v>1109</v>
      </c>
      <c r="E66" s="632"/>
      <c r="F66" s="632"/>
      <c r="G66" s="632"/>
      <c r="H66" s="632"/>
      <c r="I66" s="632"/>
      <c r="J66" s="632"/>
      <c r="K66" s="404"/>
    </row>
    <row r="67" spans="2:11" s="184" customFormat="1" ht="15" customHeight="1">
      <c r="B67" s="403"/>
      <c r="C67" s="372"/>
      <c r="D67" s="628" t="s">
        <v>1110</v>
      </c>
      <c r="E67" s="628"/>
      <c r="F67" s="628"/>
      <c r="G67" s="628"/>
      <c r="H67" s="628"/>
      <c r="I67" s="628"/>
      <c r="J67" s="628"/>
      <c r="K67" s="404"/>
    </row>
    <row r="68" spans="2:11" s="184" customFormat="1" ht="15" customHeight="1">
      <c r="B68" s="403"/>
      <c r="C68" s="372"/>
      <c r="D68" s="628" t="s">
        <v>1111</v>
      </c>
      <c r="E68" s="628"/>
      <c r="F68" s="628"/>
      <c r="G68" s="628"/>
      <c r="H68" s="628"/>
      <c r="I68" s="628"/>
      <c r="J68" s="628"/>
      <c r="K68" s="404"/>
    </row>
    <row r="69" spans="2:11" s="184" customFormat="1" ht="15" customHeight="1">
      <c r="B69" s="403"/>
      <c r="C69" s="372"/>
      <c r="D69" s="628" t="s">
        <v>1112</v>
      </c>
      <c r="E69" s="628"/>
      <c r="F69" s="628"/>
      <c r="G69" s="628"/>
      <c r="H69" s="628"/>
      <c r="I69" s="628"/>
      <c r="J69" s="628"/>
      <c r="K69" s="404"/>
    </row>
    <row r="70" spans="2:11" s="184" customFormat="1" ht="15" customHeight="1">
      <c r="B70" s="403"/>
      <c r="C70" s="372"/>
      <c r="D70" s="628" t="s">
        <v>1113</v>
      </c>
      <c r="E70" s="628"/>
      <c r="F70" s="628"/>
      <c r="G70" s="628"/>
      <c r="H70" s="628"/>
      <c r="I70" s="628"/>
      <c r="J70" s="628"/>
      <c r="K70" s="404"/>
    </row>
    <row r="71" spans="2:11" s="184" customFormat="1" ht="12.75" customHeight="1">
      <c r="B71" s="407"/>
      <c r="C71" s="408"/>
      <c r="D71" s="408"/>
      <c r="E71" s="408"/>
      <c r="F71" s="408"/>
      <c r="G71" s="408"/>
      <c r="H71" s="408"/>
      <c r="I71" s="408"/>
      <c r="J71" s="408"/>
      <c r="K71" s="409"/>
    </row>
    <row r="72" spans="2:11" s="184" customFormat="1" ht="18.75" customHeight="1">
      <c r="B72" s="410"/>
      <c r="C72" s="410"/>
      <c r="D72" s="410"/>
      <c r="E72" s="410"/>
      <c r="F72" s="410"/>
      <c r="G72" s="410"/>
      <c r="H72" s="410"/>
      <c r="I72" s="410"/>
      <c r="J72" s="410"/>
      <c r="K72" s="410"/>
    </row>
    <row r="73" spans="2:11" s="184" customFormat="1" ht="18.75" customHeight="1">
      <c r="B73" s="410"/>
      <c r="C73" s="410"/>
      <c r="D73" s="410"/>
      <c r="E73" s="410"/>
      <c r="F73" s="410"/>
      <c r="G73" s="410"/>
      <c r="H73" s="410"/>
      <c r="I73" s="410"/>
      <c r="J73" s="410"/>
      <c r="K73" s="410"/>
    </row>
    <row r="74" spans="2:11" s="184" customFormat="1" ht="7.5" customHeight="1">
      <c r="B74" s="411"/>
      <c r="C74" s="412"/>
      <c r="D74" s="412"/>
      <c r="E74" s="412"/>
      <c r="F74" s="412"/>
      <c r="G74" s="412"/>
      <c r="H74" s="412"/>
      <c r="I74" s="412"/>
      <c r="J74" s="412"/>
      <c r="K74" s="413"/>
    </row>
    <row r="75" spans="2:11" s="184" customFormat="1" ht="45" customHeight="1">
      <c r="B75" s="414"/>
      <c r="C75" s="631" t="s">
        <v>1114</v>
      </c>
      <c r="D75" s="631"/>
      <c r="E75" s="631"/>
      <c r="F75" s="631"/>
      <c r="G75" s="631"/>
      <c r="H75" s="631"/>
      <c r="I75" s="631"/>
      <c r="J75" s="631"/>
      <c r="K75" s="415"/>
    </row>
    <row r="76" spans="2:11" s="184" customFormat="1" ht="17.25" customHeight="1">
      <c r="B76" s="414"/>
      <c r="C76" s="416" t="s">
        <v>1115</v>
      </c>
      <c r="D76" s="416"/>
      <c r="E76" s="416"/>
      <c r="F76" s="416" t="s">
        <v>1116</v>
      </c>
      <c r="G76" s="417"/>
      <c r="H76" s="416" t="s">
        <v>24</v>
      </c>
      <c r="I76" s="416" t="s">
        <v>551</v>
      </c>
      <c r="J76" s="416" t="s">
        <v>1117</v>
      </c>
      <c r="K76" s="415"/>
    </row>
    <row r="77" spans="2:11" s="184" customFormat="1" ht="17.25" customHeight="1">
      <c r="B77" s="414"/>
      <c r="C77" s="418" t="s">
        <v>1118</v>
      </c>
      <c r="D77" s="418"/>
      <c r="E77" s="418"/>
      <c r="F77" s="419" t="s">
        <v>1119</v>
      </c>
      <c r="G77" s="420"/>
      <c r="H77" s="418"/>
      <c r="I77" s="418"/>
      <c r="J77" s="418" t="s">
        <v>1120</v>
      </c>
      <c r="K77" s="415"/>
    </row>
    <row r="78" spans="2:11" s="184" customFormat="1" ht="5.25" customHeight="1">
      <c r="B78" s="414"/>
      <c r="C78" s="421"/>
      <c r="D78" s="421"/>
      <c r="E78" s="421"/>
      <c r="F78" s="421"/>
      <c r="G78" s="422"/>
      <c r="H78" s="421"/>
      <c r="I78" s="421"/>
      <c r="J78" s="421"/>
      <c r="K78" s="415"/>
    </row>
    <row r="79" spans="2:11" s="184" customFormat="1" ht="15" customHeight="1">
      <c r="B79" s="414"/>
      <c r="C79" s="373" t="s">
        <v>23</v>
      </c>
      <c r="D79" s="376"/>
      <c r="E79" s="376"/>
      <c r="F79" s="377" t="s">
        <v>191</v>
      </c>
      <c r="G79" s="373"/>
      <c r="H79" s="373" t="s">
        <v>1121</v>
      </c>
      <c r="I79" s="373" t="s">
        <v>1122</v>
      </c>
      <c r="J79" s="373">
        <v>20</v>
      </c>
      <c r="K79" s="415"/>
    </row>
    <row r="80" spans="2:11" s="184" customFormat="1" ht="15" customHeight="1">
      <c r="B80" s="414"/>
      <c r="C80" s="373" t="s">
        <v>1123</v>
      </c>
      <c r="D80" s="373"/>
      <c r="E80" s="373"/>
      <c r="F80" s="377" t="s">
        <v>191</v>
      </c>
      <c r="G80" s="373"/>
      <c r="H80" s="373" t="s">
        <v>1124</v>
      </c>
      <c r="I80" s="373" t="s">
        <v>1122</v>
      </c>
      <c r="J80" s="373">
        <v>120</v>
      </c>
      <c r="K80" s="415"/>
    </row>
    <row r="81" spans="2:11" s="184" customFormat="1" ht="15" customHeight="1">
      <c r="B81" s="423"/>
      <c r="C81" s="373" t="s">
        <v>1125</v>
      </c>
      <c r="D81" s="373"/>
      <c r="E81" s="373"/>
      <c r="F81" s="377" t="s">
        <v>1126</v>
      </c>
      <c r="G81" s="373"/>
      <c r="H81" s="373" t="s">
        <v>1127</v>
      </c>
      <c r="I81" s="373" t="s">
        <v>1122</v>
      </c>
      <c r="J81" s="373">
        <v>50</v>
      </c>
      <c r="K81" s="415"/>
    </row>
    <row r="82" spans="2:11" s="184" customFormat="1" ht="15" customHeight="1">
      <c r="B82" s="423"/>
      <c r="C82" s="373" t="s">
        <v>1128</v>
      </c>
      <c r="D82" s="373"/>
      <c r="E82" s="373"/>
      <c r="F82" s="377" t="s">
        <v>191</v>
      </c>
      <c r="G82" s="373"/>
      <c r="H82" s="373" t="s">
        <v>1129</v>
      </c>
      <c r="I82" s="373" t="s">
        <v>1130</v>
      </c>
      <c r="J82" s="373"/>
      <c r="K82" s="415"/>
    </row>
    <row r="83" spans="2:11" s="184" customFormat="1" ht="15" customHeight="1">
      <c r="B83" s="423"/>
      <c r="C83" s="373" t="s">
        <v>1131</v>
      </c>
      <c r="D83" s="373"/>
      <c r="E83" s="373"/>
      <c r="F83" s="377" t="s">
        <v>1126</v>
      </c>
      <c r="G83" s="373"/>
      <c r="H83" s="373" t="s">
        <v>1132</v>
      </c>
      <c r="I83" s="373" t="s">
        <v>1122</v>
      </c>
      <c r="J83" s="373">
        <v>15</v>
      </c>
      <c r="K83" s="415"/>
    </row>
    <row r="84" spans="2:11" s="184" customFormat="1" ht="15" customHeight="1">
      <c r="B84" s="423"/>
      <c r="C84" s="373" t="s">
        <v>1133</v>
      </c>
      <c r="D84" s="373"/>
      <c r="E84" s="373"/>
      <c r="F84" s="377" t="s">
        <v>1126</v>
      </c>
      <c r="G84" s="373"/>
      <c r="H84" s="373" t="s">
        <v>1134</v>
      </c>
      <c r="I84" s="373" t="s">
        <v>1122</v>
      </c>
      <c r="J84" s="373">
        <v>15</v>
      </c>
      <c r="K84" s="415"/>
    </row>
    <row r="85" spans="2:11" s="184" customFormat="1" ht="15" customHeight="1">
      <c r="B85" s="423"/>
      <c r="C85" s="373" t="s">
        <v>1135</v>
      </c>
      <c r="D85" s="373"/>
      <c r="E85" s="373"/>
      <c r="F85" s="377" t="s">
        <v>1126</v>
      </c>
      <c r="G85" s="373"/>
      <c r="H85" s="373" t="s">
        <v>1136</v>
      </c>
      <c r="I85" s="373" t="s">
        <v>1122</v>
      </c>
      <c r="J85" s="373">
        <v>20</v>
      </c>
      <c r="K85" s="415"/>
    </row>
    <row r="86" spans="2:11" s="184" customFormat="1" ht="15" customHeight="1">
      <c r="B86" s="423"/>
      <c r="C86" s="373" t="s">
        <v>1137</v>
      </c>
      <c r="D86" s="373"/>
      <c r="E86" s="373"/>
      <c r="F86" s="377" t="s">
        <v>1126</v>
      </c>
      <c r="G86" s="373"/>
      <c r="H86" s="373" t="s">
        <v>1138</v>
      </c>
      <c r="I86" s="373" t="s">
        <v>1122</v>
      </c>
      <c r="J86" s="373">
        <v>20</v>
      </c>
      <c r="K86" s="415"/>
    </row>
    <row r="87" spans="2:11" s="184" customFormat="1" ht="15" customHeight="1">
      <c r="B87" s="423"/>
      <c r="C87" s="373" t="s">
        <v>1139</v>
      </c>
      <c r="D87" s="373"/>
      <c r="E87" s="373"/>
      <c r="F87" s="377" t="s">
        <v>1126</v>
      </c>
      <c r="G87" s="373"/>
      <c r="H87" s="373" t="s">
        <v>1140</v>
      </c>
      <c r="I87" s="373" t="s">
        <v>1122</v>
      </c>
      <c r="J87" s="373">
        <v>50</v>
      </c>
      <c r="K87" s="415"/>
    </row>
    <row r="88" spans="2:11" s="184" customFormat="1" ht="15" customHeight="1">
      <c r="B88" s="423"/>
      <c r="C88" s="373" t="s">
        <v>1141</v>
      </c>
      <c r="D88" s="373"/>
      <c r="E88" s="373"/>
      <c r="F88" s="377" t="s">
        <v>1126</v>
      </c>
      <c r="G88" s="373"/>
      <c r="H88" s="373" t="s">
        <v>1142</v>
      </c>
      <c r="I88" s="373" t="s">
        <v>1122</v>
      </c>
      <c r="J88" s="373">
        <v>20</v>
      </c>
      <c r="K88" s="415"/>
    </row>
    <row r="89" spans="2:11" s="184" customFormat="1" ht="15" customHeight="1">
      <c r="B89" s="423"/>
      <c r="C89" s="373" t="s">
        <v>1143</v>
      </c>
      <c r="D89" s="373"/>
      <c r="E89" s="373"/>
      <c r="F89" s="377" t="s">
        <v>1126</v>
      </c>
      <c r="G89" s="373"/>
      <c r="H89" s="373" t="s">
        <v>1144</v>
      </c>
      <c r="I89" s="373" t="s">
        <v>1122</v>
      </c>
      <c r="J89" s="373">
        <v>20</v>
      </c>
      <c r="K89" s="415"/>
    </row>
    <row r="90" spans="2:11" s="184" customFormat="1" ht="15" customHeight="1">
      <c r="B90" s="423"/>
      <c r="C90" s="373" t="s">
        <v>1145</v>
      </c>
      <c r="D90" s="373"/>
      <c r="E90" s="373"/>
      <c r="F90" s="377" t="s">
        <v>1126</v>
      </c>
      <c r="G90" s="373"/>
      <c r="H90" s="373" t="s">
        <v>1146</v>
      </c>
      <c r="I90" s="373" t="s">
        <v>1122</v>
      </c>
      <c r="J90" s="373">
        <v>50</v>
      </c>
      <c r="K90" s="415"/>
    </row>
    <row r="91" spans="2:11" s="184" customFormat="1" ht="15" customHeight="1">
      <c r="B91" s="423"/>
      <c r="C91" s="373" t="s">
        <v>216</v>
      </c>
      <c r="D91" s="373"/>
      <c r="E91" s="373"/>
      <c r="F91" s="377" t="s">
        <v>1126</v>
      </c>
      <c r="G91" s="373"/>
      <c r="H91" s="373" t="s">
        <v>216</v>
      </c>
      <c r="I91" s="373" t="s">
        <v>1122</v>
      </c>
      <c r="J91" s="373">
        <v>50</v>
      </c>
      <c r="K91" s="415"/>
    </row>
    <row r="92" spans="2:11" s="184" customFormat="1" ht="15" customHeight="1">
      <c r="B92" s="423"/>
      <c r="C92" s="373" t="s">
        <v>1147</v>
      </c>
      <c r="D92" s="373"/>
      <c r="E92" s="373"/>
      <c r="F92" s="377" t="s">
        <v>1126</v>
      </c>
      <c r="G92" s="373"/>
      <c r="H92" s="373" t="s">
        <v>1148</v>
      </c>
      <c r="I92" s="373" t="s">
        <v>1122</v>
      </c>
      <c r="J92" s="373">
        <v>255</v>
      </c>
      <c r="K92" s="415"/>
    </row>
    <row r="93" spans="2:11" s="184" customFormat="1" ht="15" customHeight="1">
      <c r="B93" s="423"/>
      <c r="C93" s="373" t="s">
        <v>1149</v>
      </c>
      <c r="D93" s="373"/>
      <c r="E93" s="373"/>
      <c r="F93" s="377" t="s">
        <v>191</v>
      </c>
      <c r="G93" s="373"/>
      <c r="H93" s="373" t="s">
        <v>1150</v>
      </c>
      <c r="I93" s="373" t="s">
        <v>1151</v>
      </c>
      <c r="J93" s="373"/>
      <c r="K93" s="415"/>
    </row>
    <row r="94" spans="2:11" s="184" customFormat="1" ht="15" customHeight="1">
      <c r="B94" s="423"/>
      <c r="C94" s="373" t="s">
        <v>1152</v>
      </c>
      <c r="D94" s="373"/>
      <c r="E94" s="373"/>
      <c r="F94" s="377" t="s">
        <v>191</v>
      </c>
      <c r="G94" s="373"/>
      <c r="H94" s="373" t="s">
        <v>1153</v>
      </c>
      <c r="I94" s="373" t="s">
        <v>1154</v>
      </c>
      <c r="J94" s="373"/>
      <c r="K94" s="415"/>
    </row>
    <row r="95" spans="2:11" s="184" customFormat="1" ht="15" customHeight="1">
      <c r="B95" s="423"/>
      <c r="C95" s="373" t="s">
        <v>1155</v>
      </c>
      <c r="D95" s="373"/>
      <c r="E95" s="373"/>
      <c r="F95" s="377" t="s">
        <v>191</v>
      </c>
      <c r="G95" s="373"/>
      <c r="H95" s="373" t="s">
        <v>1155</v>
      </c>
      <c r="I95" s="373" t="s">
        <v>1154</v>
      </c>
      <c r="J95" s="373"/>
      <c r="K95" s="415"/>
    </row>
    <row r="96" spans="2:11" s="184" customFormat="1" ht="15" customHeight="1">
      <c r="B96" s="423"/>
      <c r="C96" s="373" t="s">
        <v>534</v>
      </c>
      <c r="D96" s="373"/>
      <c r="E96" s="373"/>
      <c r="F96" s="377" t="s">
        <v>191</v>
      </c>
      <c r="G96" s="373"/>
      <c r="H96" s="373" t="s">
        <v>1156</v>
      </c>
      <c r="I96" s="373" t="s">
        <v>1154</v>
      </c>
      <c r="J96" s="373"/>
      <c r="K96" s="415"/>
    </row>
    <row r="97" spans="2:11" s="184" customFormat="1" ht="15" customHeight="1">
      <c r="B97" s="423"/>
      <c r="C97" s="373" t="s">
        <v>544</v>
      </c>
      <c r="D97" s="373"/>
      <c r="E97" s="373"/>
      <c r="F97" s="377" t="s">
        <v>191</v>
      </c>
      <c r="G97" s="373"/>
      <c r="H97" s="373" t="s">
        <v>1157</v>
      </c>
      <c r="I97" s="373" t="s">
        <v>1154</v>
      </c>
      <c r="J97" s="373"/>
      <c r="K97" s="415"/>
    </row>
    <row r="98" spans="2:11" s="184" customFormat="1" ht="15" customHeight="1">
      <c r="B98" s="424"/>
      <c r="C98" s="425"/>
      <c r="D98" s="425"/>
      <c r="E98" s="425"/>
      <c r="F98" s="425"/>
      <c r="G98" s="425"/>
      <c r="H98" s="425"/>
      <c r="I98" s="425"/>
      <c r="J98" s="425"/>
      <c r="K98" s="426"/>
    </row>
    <row r="99" spans="2:11" s="184" customFormat="1" ht="18.75" customHeight="1">
      <c r="B99" s="427"/>
      <c r="C99" s="428"/>
      <c r="D99" s="428"/>
      <c r="E99" s="428"/>
      <c r="F99" s="428"/>
      <c r="G99" s="428"/>
      <c r="H99" s="428"/>
      <c r="I99" s="428"/>
      <c r="J99" s="428"/>
      <c r="K99" s="427"/>
    </row>
    <row r="100" spans="2:11" s="184" customFormat="1" ht="18.75" customHeight="1"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</row>
    <row r="101" spans="2:11" s="184" customFormat="1" ht="7.5" customHeight="1">
      <c r="B101" s="411"/>
      <c r="C101" s="412"/>
      <c r="D101" s="412"/>
      <c r="E101" s="412"/>
      <c r="F101" s="412"/>
      <c r="G101" s="412"/>
      <c r="H101" s="412"/>
      <c r="I101" s="412"/>
      <c r="J101" s="412"/>
      <c r="K101" s="413"/>
    </row>
    <row r="102" spans="2:11" s="184" customFormat="1" ht="45" customHeight="1">
      <c r="B102" s="414"/>
      <c r="C102" s="631" t="s">
        <v>1158</v>
      </c>
      <c r="D102" s="631"/>
      <c r="E102" s="631"/>
      <c r="F102" s="631"/>
      <c r="G102" s="631"/>
      <c r="H102" s="631"/>
      <c r="I102" s="631"/>
      <c r="J102" s="631"/>
      <c r="K102" s="415"/>
    </row>
    <row r="103" spans="2:11" s="184" customFormat="1" ht="17.25" customHeight="1">
      <c r="B103" s="414"/>
      <c r="C103" s="416" t="s">
        <v>1115</v>
      </c>
      <c r="D103" s="416"/>
      <c r="E103" s="416"/>
      <c r="F103" s="416" t="s">
        <v>1116</v>
      </c>
      <c r="G103" s="417"/>
      <c r="H103" s="416" t="s">
        <v>24</v>
      </c>
      <c r="I103" s="416" t="s">
        <v>551</v>
      </c>
      <c r="J103" s="416" t="s">
        <v>1117</v>
      </c>
      <c r="K103" s="415"/>
    </row>
    <row r="104" spans="2:11" s="184" customFormat="1" ht="17.25" customHeight="1">
      <c r="B104" s="414"/>
      <c r="C104" s="418" t="s">
        <v>1118</v>
      </c>
      <c r="D104" s="418"/>
      <c r="E104" s="418"/>
      <c r="F104" s="419" t="s">
        <v>1119</v>
      </c>
      <c r="G104" s="420"/>
      <c r="H104" s="418"/>
      <c r="I104" s="418"/>
      <c r="J104" s="418" t="s">
        <v>1120</v>
      </c>
      <c r="K104" s="415"/>
    </row>
    <row r="105" spans="2:11" s="184" customFormat="1" ht="5.25" customHeight="1">
      <c r="B105" s="414"/>
      <c r="C105" s="416"/>
      <c r="D105" s="416"/>
      <c r="E105" s="416"/>
      <c r="F105" s="416"/>
      <c r="G105" s="417"/>
      <c r="H105" s="416"/>
      <c r="I105" s="416"/>
      <c r="J105" s="416"/>
      <c r="K105" s="415"/>
    </row>
    <row r="106" spans="2:11" s="184" customFormat="1" ht="15" customHeight="1">
      <c r="B106" s="414"/>
      <c r="C106" s="373" t="s">
        <v>23</v>
      </c>
      <c r="D106" s="376"/>
      <c r="E106" s="376"/>
      <c r="F106" s="377" t="s">
        <v>191</v>
      </c>
      <c r="G106" s="373"/>
      <c r="H106" s="373" t="s">
        <v>1159</v>
      </c>
      <c r="I106" s="373" t="s">
        <v>1122</v>
      </c>
      <c r="J106" s="373">
        <v>20</v>
      </c>
      <c r="K106" s="415"/>
    </row>
    <row r="107" spans="2:11" s="184" customFormat="1" ht="15" customHeight="1">
      <c r="B107" s="414"/>
      <c r="C107" s="373" t="s">
        <v>1123</v>
      </c>
      <c r="D107" s="373"/>
      <c r="E107" s="373"/>
      <c r="F107" s="377" t="s">
        <v>191</v>
      </c>
      <c r="G107" s="373"/>
      <c r="H107" s="373" t="s">
        <v>1159</v>
      </c>
      <c r="I107" s="373" t="s">
        <v>1122</v>
      </c>
      <c r="J107" s="373">
        <v>120</v>
      </c>
      <c r="K107" s="415"/>
    </row>
    <row r="108" spans="2:11" s="184" customFormat="1" ht="15" customHeight="1">
      <c r="B108" s="423"/>
      <c r="C108" s="373" t="s">
        <v>1125</v>
      </c>
      <c r="D108" s="373"/>
      <c r="E108" s="373"/>
      <c r="F108" s="377" t="s">
        <v>1126</v>
      </c>
      <c r="G108" s="373"/>
      <c r="H108" s="373" t="s">
        <v>1159</v>
      </c>
      <c r="I108" s="373" t="s">
        <v>1122</v>
      </c>
      <c r="J108" s="373">
        <v>50</v>
      </c>
      <c r="K108" s="415"/>
    </row>
    <row r="109" spans="2:11" s="184" customFormat="1" ht="15" customHeight="1">
      <c r="B109" s="423"/>
      <c r="C109" s="373" t="s">
        <v>1128</v>
      </c>
      <c r="D109" s="373"/>
      <c r="E109" s="373"/>
      <c r="F109" s="377" t="s">
        <v>191</v>
      </c>
      <c r="G109" s="373"/>
      <c r="H109" s="373" t="s">
        <v>1159</v>
      </c>
      <c r="I109" s="373" t="s">
        <v>1130</v>
      </c>
      <c r="J109" s="373"/>
      <c r="K109" s="415"/>
    </row>
    <row r="110" spans="2:11" s="184" customFormat="1" ht="15" customHeight="1">
      <c r="B110" s="423"/>
      <c r="C110" s="373" t="s">
        <v>1139</v>
      </c>
      <c r="D110" s="373"/>
      <c r="E110" s="373"/>
      <c r="F110" s="377" t="s">
        <v>1126</v>
      </c>
      <c r="G110" s="373"/>
      <c r="H110" s="373" t="s">
        <v>1159</v>
      </c>
      <c r="I110" s="373" t="s">
        <v>1122</v>
      </c>
      <c r="J110" s="373">
        <v>50</v>
      </c>
      <c r="K110" s="415"/>
    </row>
    <row r="111" spans="2:11" s="184" customFormat="1" ht="15" customHeight="1">
      <c r="B111" s="423"/>
      <c r="C111" s="373" t="s">
        <v>216</v>
      </c>
      <c r="D111" s="373"/>
      <c r="E111" s="373"/>
      <c r="F111" s="377" t="s">
        <v>1126</v>
      </c>
      <c r="G111" s="373"/>
      <c r="H111" s="373" t="s">
        <v>1159</v>
      </c>
      <c r="I111" s="373" t="s">
        <v>1122</v>
      </c>
      <c r="J111" s="373">
        <v>50</v>
      </c>
      <c r="K111" s="415"/>
    </row>
    <row r="112" spans="2:11" s="184" customFormat="1" ht="15" customHeight="1">
      <c r="B112" s="423"/>
      <c r="C112" s="373" t="s">
        <v>1145</v>
      </c>
      <c r="D112" s="373"/>
      <c r="E112" s="373"/>
      <c r="F112" s="377" t="s">
        <v>1126</v>
      </c>
      <c r="G112" s="373"/>
      <c r="H112" s="373" t="s">
        <v>1159</v>
      </c>
      <c r="I112" s="373" t="s">
        <v>1122</v>
      </c>
      <c r="J112" s="373">
        <v>50</v>
      </c>
      <c r="K112" s="415"/>
    </row>
    <row r="113" spans="2:11" s="184" customFormat="1" ht="15" customHeight="1">
      <c r="B113" s="423"/>
      <c r="C113" s="373" t="s">
        <v>23</v>
      </c>
      <c r="D113" s="373"/>
      <c r="E113" s="373"/>
      <c r="F113" s="377" t="s">
        <v>191</v>
      </c>
      <c r="G113" s="373"/>
      <c r="H113" s="373" t="s">
        <v>1160</v>
      </c>
      <c r="I113" s="373" t="s">
        <v>1122</v>
      </c>
      <c r="J113" s="373">
        <v>20</v>
      </c>
      <c r="K113" s="415"/>
    </row>
    <row r="114" spans="2:11" s="184" customFormat="1" ht="15" customHeight="1">
      <c r="B114" s="423"/>
      <c r="C114" s="373" t="s">
        <v>1161</v>
      </c>
      <c r="D114" s="373"/>
      <c r="E114" s="373"/>
      <c r="F114" s="377" t="s">
        <v>191</v>
      </c>
      <c r="G114" s="373"/>
      <c r="H114" s="373" t="s">
        <v>1162</v>
      </c>
      <c r="I114" s="373" t="s">
        <v>1122</v>
      </c>
      <c r="J114" s="373">
        <v>120</v>
      </c>
      <c r="K114" s="415"/>
    </row>
    <row r="115" spans="2:11" s="184" customFormat="1" ht="15" customHeight="1">
      <c r="B115" s="423"/>
      <c r="C115" s="373" t="s">
        <v>534</v>
      </c>
      <c r="D115" s="373"/>
      <c r="E115" s="373"/>
      <c r="F115" s="377" t="s">
        <v>191</v>
      </c>
      <c r="G115" s="373"/>
      <c r="H115" s="373" t="s">
        <v>1163</v>
      </c>
      <c r="I115" s="373" t="s">
        <v>1154</v>
      </c>
      <c r="J115" s="373"/>
      <c r="K115" s="415"/>
    </row>
    <row r="116" spans="2:11" s="184" customFormat="1" ht="15" customHeight="1">
      <c r="B116" s="423"/>
      <c r="C116" s="373" t="s">
        <v>544</v>
      </c>
      <c r="D116" s="373"/>
      <c r="E116" s="373"/>
      <c r="F116" s="377" t="s">
        <v>191</v>
      </c>
      <c r="G116" s="373"/>
      <c r="H116" s="373" t="s">
        <v>1164</v>
      </c>
      <c r="I116" s="373" t="s">
        <v>1154</v>
      </c>
      <c r="J116" s="373"/>
      <c r="K116" s="415"/>
    </row>
    <row r="117" spans="2:11" s="184" customFormat="1" ht="15" customHeight="1">
      <c r="B117" s="423"/>
      <c r="C117" s="373" t="s">
        <v>551</v>
      </c>
      <c r="D117" s="373"/>
      <c r="E117" s="373"/>
      <c r="F117" s="377" t="s">
        <v>191</v>
      </c>
      <c r="G117" s="373"/>
      <c r="H117" s="373" t="s">
        <v>1165</v>
      </c>
      <c r="I117" s="373" t="s">
        <v>1166</v>
      </c>
      <c r="J117" s="373"/>
      <c r="K117" s="415"/>
    </row>
    <row r="118" spans="2:11" s="184" customFormat="1" ht="15" customHeight="1">
      <c r="B118" s="424"/>
      <c r="C118" s="429"/>
      <c r="D118" s="429"/>
      <c r="E118" s="429"/>
      <c r="F118" s="429"/>
      <c r="G118" s="429"/>
      <c r="H118" s="429"/>
      <c r="I118" s="429"/>
      <c r="J118" s="429"/>
      <c r="K118" s="426"/>
    </row>
    <row r="119" spans="2:11" s="184" customFormat="1" ht="18.75" customHeight="1">
      <c r="B119" s="430"/>
      <c r="C119" s="431"/>
      <c r="D119" s="431"/>
      <c r="E119" s="431"/>
      <c r="F119" s="432"/>
      <c r="G119" s="431"/>
      <c r="H119" s="431"/>
      <c r="I119" s="431"/>
      <c r="J119" s="431"/>
      <c r="K119" s="430"/>
    </row>
    <row r="120" spans="2:11" s="184" customFormat="1" ht="18.75" customHeight="1"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</row>
    <row r="121" spans="2:11" s="184" customFormat="1" ht="7.5" customHeight="1">
      <c r="B121" s="433"/>
      <c r="C121" s="434"/>
      <c r="D121" s="434"/>
      <c r="E121" s="434"/>
      <c r="F121" s="434"/>
      <c r="G121" s="434"/>
      <c r="H121" s="434"/>
      <c r="I121" s="434"/>
      <c r="J121" s="434"/>
      <c r="K121" s="435"/>
    </row>
    <row r="122" spans="2:11" s="184" customFormat="1" ht="45" customHeight="1">
      <c r="B122" s="436"/>
      <c r="C122" s="629" t="s">
        <v>1167</v>
      </c>
      <c r="D122" s="629"/>
      <c r="E122" s="629"/>
      <c r="F122" s="629"/>
      <c r="G122" s="629"/>
      <c r="H122" s="629"/>
      <c r="I122" s="629"/>
      <c r="J122" s="629"/>
      <c r="K122" s="437"/>
    </row>
    <row r="123" spans="2:11" s="184" customFormat="1" ht="17.25" customHeight="1">
      <c r="B123" s="438"/>
      <c r="C123" s="416" t="s">
        <v>1115</v>
      </c>
      <c r="D123" s="416"/>
      <c r="E123" s="416"/>
      <c r="F123" s="416" t="s">
        <v>1116</v>
      </c>
      <c r="G123" s="417"/>
      <c r="H123" s="416" t="s">
        <v>24</v>
      </c>
      <c r="I123" s="416" t="s">
        <v>551</v>
      </c>
      <c r="J123" s="416" t="s">
        <v>1117</v>
      </c>
      <c r="K123" s="439"/>
    </row>
    <row r="124" spans="2:11" s="184" customFormat="1" ht="17.25" customHeight="1">
      <c r="B124" s="438"/>
      <c r="C124" s="418" t="s">
        <v>1118</v>
      </c>
      <c r="D124" s="418"/>
      <c r="E124" s="418"/>
      <c r="F124" s="419" t="s">
        <v>1119</v>
      </c>
      <c r="G124" s="420"/>
      <c r="H124" s="418"/>
      <c r="I124" s="418"/>
      <c r="J124" s="418" t="s">
        <v>1120</v>
      </c>
      <c r="K124" s="439"/>
    </row>
    <row r="125" spans="2:11" s="184" customFormat="1" ht="5.25" customHeight="1">
      <c r="B125" s="440"/>
      <c r="C125" s="421"/>
      <c r="D125" s="421"/>
      <c r="E125" s="421"/>
      <c r="F125" s="421"/>
      <c r="G125" s="422"/>
      <c r="H125" s="421"/>
      <c r="I125" s="421"/>
      <c r="J125" s="421"/>
      <c r="K125" s="441"/>
    </row>
    <row r="126" spans="2:11" s="184" customFormat="1" ht="15" customHeight="1">
      <c r="B126" s="440"/>
      <c r="C126" s="373" t="s">
        <v>1123</v>
      </c>
      <c r="D126" s="376"/>
      <c r="E126" s="376"/>
      <c r="F126" s="377" t="s">
        <v>191</v>
      </c>
      <c r="G126" s="373"/>
      <c r="H126" s="373" t="s">
        <v>1159</v>
      </c>
      <c r="I126" s="373" t="s">
        <v>1122</v>
      </c>
      <c r="J126" s="373">
        <v>120</v>
      </c>
      <c r="K126" s="442"/>
    </row>
    <row r="127" spans="2:11" s="184" customFormat="1" ht="15" customHeight="1">
      <c r="B127" s="440"/>
      <c r="C127" s="373" t="s">
        <v>1168</v>
      </c>
      <c r="D127" s="373"/>
      <c r="E127" s="373"/>
      <c r="F127" s="377" t="s">
        <v>191</v>
      </c>
      <c r="G127" s="373"/>
      <c r="H127" s="373" t="s">
        <v>1169</v>
      </c>
      <c r="I127" s="373" t="s">
        <v>1122</v>
      </c>
      <c r="J127" s="373" t="s">
        <v>1170</v>
      </c>
      <c r="K127" s="442"/>
    </row>
    <row r="128" spans="2:11" s="184" customFormat="1" ht="15" customHeight="1">
      <c r="B128" s="440"/>
      <c r="C128" s="373" t="s">
        <v>574</v>
      </c>
      <c r="D128" s="373"/>
      <c r="E128" s="373"/>
      <c r="F128" s="377" t="s">
        <v>191</v>
      </c>
      <c r="G128" s="373"/>
      <c r="H128" s="373" t="s">
        <v>1171</v>
      </c>
      <c r="I128" s="373" t="s">
        <v>1122</v>
      </c>
      <c r="J128" s="373" t="s">
        <v>1170</v>
      </c>
      <c r="K128" s="442"/>
    </row>
    <row r="129" spans="2:11" s="184" customFormat="1" ht="15" customHeight="1">
      <c r="B129" s="440"/>
      <c r="C129" s="373" t="s">
        <v>1131</v>
      </c>
      <c r="D129" s="373"/>
      <c r="E129" s="373"/>
      <c r="F129" s="377" t="s">
        <v>1126</v>
      </c>
      <c r="G129" s="373"/>
      <c r="H129" s="373" t="s">
        <v>1132</v>
      </c>
      <c r="I129" s="373" t="s">
        <v>1122</v>
      </c>
      <c r="J129" s="373">
        <v>15</v>
      </c>
      <c r="K129" s="442"/>
    </row>
    <row r="130" spans="2:11" s="184" customFormat="1" ht="15" customHeight="1">
      <c r="B130" s="440"/>
      <c r="C130" s="373" t="s">
        <v>1133</v>
      </c>
      <c r="D130" s="373"/>
      <c r="E130" s="373"/>
      <c r="F130" s="377" t="s">
        <v>1126</v>
      </c>
      <c r="G130" s="373"/>
      <c r="H130" s="373" t="s">
        <v>1134</v>
      </c>
      <c r="I130" s="373" t="s">
        <v>1122</v>
      </c>
      <c r="J130" s="373">
        <v>15</v>
      </c>
      <c r="K130" s="442"/>
    </row>
    <row r="131" spans="2:11" s="184" customFormat="1" ht="15" customHeight="1">
      <c r="B131" s="440"/>
      <c r="C131" s="373" t="s">
        <v>1135</v>
      </c>
      <c r="D131" s="373"/>
      <c r="E131" s="373"/>
      <c r="F131" s="377" t="s">
        <v>1126</v>
      </c>
      <c r="G131" s="373"/>
      <c r="H131" s="373" t="s">
        <v>1136</v>
      </c>
      <c r="I131" s="373" t="s">
        <v>1122</v>
      </c>
      <c r="J131" s="373">
        <v>20</v>
      </c>
      <c r="K131" s="442"/>
    </row>
    <row r="132" spans="2:11" s="184" customFormat="1" ht="15" customHeight="1">
      <c r="B132" s="440"/>
      <c r="C132" s="373" t="s">
        <v>1137</v>
      </c>
      <c r="D132" s="373"/>
      <c r="E132" s="373"/>
      <c r="F132" s="377" t="s">
        <v>1126</v>
      </c>
      <c r="G132" s="373"/>
      <c r="H132" s="373" t="s">
        <v>1138</v>
      </c>
      <c r="I132" s="373" t="s">
        <v>1122</v>
      </c>
      <c r="J132" s="373">
        <v>20</v>
      </c>
      <c r="K132" s="442"/>
    </row>
    <row r="133" spans="2:11" s="184" customFormat="1" ht="15" customHeight="1">
      <c r="B133" s="440"/>
      <c r="C133" s="373" t="s">
        <v>1125</v>
      </c>
      <c r="D133" s="373"/>
      <c r="E133" s="373"/>
      <c r="F133" s="377" t="s">
        <v>1126</v>
      </c>
      <c r="G133" s="373"/>
      <c r="H133" s="373" t="s">
        <v>1159</v>
      </c>
      <c r="I133" s="373" t="s">
        <v>1122</v>
      </c>
      <c r="J133" s="373">
        <v>50</v>
      </c>
      <c r="K133" s="442"/>
    </row>
    <row r="134" spans="2:11" s="184" customFormat="1" ht="15" customHeight="1">
      <c r="B134" s="440"/>
      <c r="C134" s="373" t="s">
        <v>1139</v>
      </c>
      <c r="D134" s="373"/>
      <c r="E134" s="373"/>
      <c r="F134" s="377" t="s">
        <v>1126</v>
      </c>
      <c r="G134" s="373"/>
      <c r="H134" s="373" t="s">
        <v>1159</v>
      </c>
      <c r="I134" s="373" t="s">
        <v>1122</v>
      </c>
      <c r="J134" s="373">
        <v>50</v>
      </c>
      <c r="K134" s="442"/>
    </row>
    <row r="135" spans="2:11" s="184" customFormat="1" ht="15" customHeight="1">
      <c r="B135" s="440"/>
      <c r="C135" s="373" t="s">
        <v>1145</v>
      </c>
      <c r="D135" s="373"/>
      <c r="E135" s="373"/>
      <c r="F135" s="377" t="s">
        <v>1126</v>
      </c>
      <c r="G135" s="373"/>
      <c r="H135" s="373" t="s">
        <v>1159</v>
      </c>
      <c r="I135" s="373" t="s">
        <v>1122</v>
      </c>
      <c r="J135" s="373">
        <v>50</v>
      </c>
      <c r="K135" s="442"/>
    </row>
    <row r="136" spans="2:11" s="184" customFormat="1" ht="15" customHeight="1">
      <c r="B136" s="440"/>
      <c r="C136" s="373" t="s">
        <v>216</v>
      </c>
      <c r="D136" s="373"/>
      <c r="E136" s="373"/>
      <c r="F136" s="377" t="s">
        <v>1126</v>
      </c>
      <c r="G136" s="373"/>
      <c r="H136" s="373" t="s">
        <v>1159</v>
      </c>
      <c r="I136" s="373" t="s">
        <v>1122</v>
      </c>
      <c r="J136" s="373">
        <v>50</v>
      </c>
      <c r="K136" s="442"/>
    </row>
    <row r="137" spans="2:11" s="184" customFormat="1" ht="15" customHeight="1">
      <c r="B137" s="440"/>
      <c r="C137" s="373" t="s">
        <v>1147</v>
      </c>
      <c r="D137" s="373"/>
      <c r="E137" s="373"/>
      <c r="F137" s="377" t="s">
        <v>1126</v>
      </c>
      <c r="G137" s="373"/>
      <c r="H137" s="373" t="s">
        <v>1172</v>
      </c>
      <c r="I137" s="373" t="s">
        <v>1122</v>
      </c>
      <c r="J137" s="373">
        <v>255</v>
      </c>
      <c r="K137" s="442"/>
    </row>
    <row r="138" spans="2:11" s="184" customFormat="1" ht="15" customHeight="1">
      <c r="B138" s="440"/>
      <c r="C138" s="373" t="s">
        <v>1149</v>
      </c>
      <c r="D138" s="373"/>
      <c r="E138" s="373"/>
      <c r="F138" s="377" t="s">
        <v>191</v>
      </c>
      <c r="G138" s="373"/>
      <c r="H138" s="373" t="s">
        <v>1173</v>
      </c>
      <c r="I138" s="373" t="s">
        <v>1151</v>
      </c>
      <c r="J138" s="373"/>
      <c r="K138" s="442"/>
    </row>
    <row r="139" spans="2:11" s="184" customFormat="1" ht="15" customHeight="1">
      <c r="B139" s="440"/>
      <c r="C139" s="373" t="s">
        <v>1152</v>
      </c>
      <c r="D139" s="373"/>
      <c r="E139" s="373"/>
      <c r="F139" s="377" t="s">
        <v>191</v>
      </c>
      <c r="G139" s="373"/>
      <c r="H139" s="373" t="s">
        <v>1174</v>
      </c>
      <c r="I139" s="373" t="s">
        <v>1154</v>
      </c>
      <c r="J139" s="373"/>
      <c r="K139" s="442"/>
    </row>
    <row r="140" spans="2:11" s="184" customFormat="1" ht="15" customHeight="1">
      <c r="B140" s="440"/>
      <c r="C140" s="373" t="s">
        <v>1155</v>
      </c>
      <c r="D140" s="373"/>
      <c r="E140" s="373"/>
      <c r="F140" s="377" t="s">
        <v>191</v>
      </c>
      <c r="G140" s="373"/>
      <c r="H140" s="373" t="s">
        <v>1155</v>
      </c>
      <c r="I140" s="373" t="s">
        <v>1154</v>
      </c>
      <c r="J140" s="373"/>
      <c r="K140" s="442"/>
    </row>
    <row r="141" spans="2:11" s="184" customFormat="1" ht="15" customHeight="1">
      <c r="B141" s="440"/>
      <c r="C141" s="373" t="s">
        <v>534</v>
      </c>
      <c r="D141" s="373"/>
      <c r="E141" s="373"/>
      <c r="F141" s="377" t="s">
        <v>191</v>
      </c>
      <c r="G141" s="373"/>
      <c r="H141" s="373" t="s">
        <v>1175</v>
      </c>
      <c r="I141" s="373" t="s">
        <v>1154</v>
      </c>
      <c r="J141" s="373"/>
      <c r="K141" s="442"/>
    </row>
    <row r="142" spans="2:11" s="184" customFormat="1" ht="15" customHeight="1">
      <c r="B142" s="440"/>
      <c r="C142" s="373" t="s">
        <v>1176</v>
      </c>
      <c r="D142" s="373"/>
      <c r="E142" s="373"/>
      <c r="F142" s="377" t="s">
        <v>191</v>
      </c>
      <c r="G142" s="373"/>
      <c r="H142" s="373" t="s">
        <v>1177</v>
      </c>
      <c r="I142" s="373" t="s">
        <v>1154</v>
      </c>
      <c r="J142" s="373"/>
      <c r="K142" s="442"/>
    </row>
    <row r="143" spans="2:11" s="184" customFormat="1" ht="15" customHeight="1">
      <c r="B143" s="443"/>
      <c r="C143" s="444"/>
      <c r="D143" s="444"/>
      <c r="E143" s="444"/>
      <c r="F143" s="444"/>
      <c r="G143" s="444"/>
      <c r="H143" s="444"/>
      <c r="I143" s="444"/>
      <c r="J143" s="444"/>
      <c r="K143" s="445"/>
    </row>
    <row r="144" spans="2:11" s="184" customFormat="1" ht="18.75" customHeight="1">
      <c r="B144" s="431"/>
      <c r="C144" s="431"/>
      <c r="D144" s="431"/>
      <c r="E144" s="431"/>
      <c r="F144" s="432"/>
      <c r="G144" s="431"/>
      <c r="H144" s="431"/>
      <c r="I144" s="431"/>
      <c r="J144" s="431"/>
      <c r="K144" s="431"/>
    </row>
    <row r="145" spans="2:11" s="184" customFormat="1" ht="18.75" customHeight="1">
      <c r="B145" s="410"/>
      <c r="C145" s="410"/>
      <c r="D145" s="410"/>
      <c r="E145" s="410"/>
      <c r="F145" s="410"/>
      <c r="G145" s="410"/>
      <c r="H145" s="410"/>
      <c r="I145" s="410"/>
      <c r="J145" s="410"/>
      <c r="K145" s="410"/>
    </row>
    <row r="146" spans="2:11" s="184" customFormat="1" ht="7.5" customHeight="1">
      <c r="B146" s="411"/>
      <c r="C146" s="412"/>
      <c r="D146" s="412"/>
      <c r="E146" s="412"/>
      <c r="F146" s="412"/>
      <c r="G146" s="412"/>
      <c r="H146" s="412"/>
      <c r="I146" s="412"/>
      <c r="J146" s="412"/>
      <c r="K146" s="413"/>
    </row>
    <row r="147" spans="2:11" s="184" customFormat="1" ht="45" customHeight="1">
      <c r="B147" s="414"/>
      <c r="C147" s="631" t="s">
        <v>1178</v>
      </c>
      <c r="D147" s="631"/>
      <c r="E147" s="631"/>
      <c r="F147" s="631"/>
      <c r="G147" s="631"/>
      <c r="H147" s="631"/>
      <c r="I147" s="631"/>
      <c r="J147" s="631"/>
      <c r="K147" s="415"/>
    </row>
    <row r="148" spans="2:11" s="184" customFormat="1" ht="17.25" customHeight="1">
      <c r="B148" s="414"/>
      <c r="C148" s="416" t="s">
        <v>1115</v>
      </c>
      <c r="D148" s="416"/>
      <c r="E148" s="416"/>
      <c r="F148" s="416" t="s">
        <v>1116</v>
      </c>
      <c r="G148" s="417"/>
      <c r="H148" s="416" t="s">
        <v>24</v>
      </c>
      <c r="I148" s="416" t="s">
        <v>551</v>
      </c>
      <c r="J148" s="416" t="s">
        <v>1117</v>
      </c>
      <c r="K148" s="415"/>
    </row>
    <row r="149" spans="2:11" s="184" customFormat="1" ht="17.25" customHeight="1">
      <c r="B149" s="414"/>
      <c r="C149" s="418" t="s">
        <v>1118</v>
      </c>
      <c r="D149" s="418"/>
      <c r="E149" s="418"/>
      <c r="F149" s="419" t="s">
        <v>1119</v>
      </c>
      <c r="G149" s="420"/>
      <c r="H149" s="418"/>
      <c r="I149" s="418"/>
      <c r="J149" s="418" t="s">
        <v>1120</v>
      </c>
      <c r="K149" s="415"/>
    </row>
    <row r="150" spans="2:11" s="184" customFormat="1" ht="5.25" customHeight="1">
      <c r="B150" s="423"/>
      <c r="C150" s="421"/>
      <c r="D150" s="421"/>
      <c r="E150" s="421"/>
      <c r="F150" s="421"/>
      <c r="G150" s="422"/>
      <c r="H150" s="421"/>
      <c r="I150" s="421"/>
      <c r="J150" s="421"/>
      <c r="K150" s="442"/>
    </row>
    <row r="151" spans="2:11" s="184" customFormat="1" ht="15" customHeight="1">
      <c r="B151" s="423"/>
      <c r="C151" s="378" t="s">
        <v>1123</v>
      </c>
      <c r="D151" s="373"/>
      <c r="E151" s="373"/>
      <c r="F151" s="379" t="s">
        <v>191</v>
      </c>
      <c r="G151" s="373"/>
      <c r="H151" s="378" t="s">
        <v>1159</v>
      </c>
      <c r="I151" s="378" t="s">
        <v>1122</v>
      </c>
      <c r="J151" s="378">
        <v>120</v>
      </c>
      <c r="K151" s="442"/>
    </row>
    <row r="152" spans="2:11" s="184" customFormat="1" ht="15" customHeight="1">
      <c r="B152" s="423"/>
      <c r="C152" s="378" t="s">
        <v>1168</v>
      </c>
      <c r="D152" s="373"/>
      <c r="E152" s="373"/>
      <c r="F152" s="379" t="s">
        <v>191</v>
      </c>
      <c r="G152" s="373"/>
      <c r="H152" s="378" t="s">
        <v>1179</v>
      </c>
      <c r="I152" s="378" t="s">
        <v>1122</v>
      </c>
      <c r="J152" s="378" t="s">
        <v>1170</v>
      </c>
      <c r="K152" s="442"/>
    </row>
    <row r="153" spans="2:11" s="184" customFormat="1" ht="15" customHeight="1">
      <c r="B153" s="423"/>
      <c r="C153" s="378" t="s">
        <v>574</v>
      </c>
      <c r="D153" s="373"/>
      <c r="E153" s="373"/>
      <c r="F153" s="379" t="s">
        <v>191</v>
      </c>
      <c r="G153" s="373"/>
      <c r="H153" s="378" t="s">
        <v>1180</v>
      </c>
      <c r="I153" s="378" t="s">
        <v>1122</v>
      </c>
      <c r="J153" s="378" t="s">
        <v>1170</v>
      </c>
      <c r="K153" s="442"/>
    </row>
    <row r="154" spans="2:11" s="184" customFormat="1" ht="15" customHeight="1">
      <c r="B154" s="423"/>
      <c r="C154" s="378" t="s">
        <v>1125</v>
      </c>
      <c r="D154" s="373"/>
      <c r="E154" s="373"/>
      <c r="F154" s="379" t="s">
        <v>1126</v>
      </c>
      <c r="G154" s="373"/>
      <c r="H154" s="378" t="s">
        <v>1159</v>
      </c>
      <c r="I154" s="378" t="s">
        <v>1122</v>
      </c>
      <c r="J154" s="378">
        <v>50</v>
      </c>
      <c r="K154" s="442"/>
    </row>
    <row r="155" spans="2:11" s="184" customFormat="1" ht="15" customHeight="1">
      <c r="B155" s="423"/>
      <c r="C155" s="378" t="s">
        <v>1128</v>
      </c>
      <c r="D155" s="373"/>
      <c r="E155" s="373"/>
      <c r="F155" s="379" t="s">
        <v>191</v>
      </c>
      <c r="G155" s="373"/>
      <c r="H155" s="378" t="s">
        <v>1159</v>
      </c>
      <c r="I155" s="378" t="s">
        <v>1130</v>
      </c>
      <c r="J155" s="378"/>
      <c r="K155" s="442"/>
    </row>
    <row r="156" spans="2:11" s="184" customFormat="1" ht="15" customHeight="1">
      <c r="B156" s="423"/>
      <c r="C156" s="378" t="s">
        <v>1139</v>
      </c>
      <c r="D156" s="373"/>
      <c r="E156" s="373"/>
      <c r="F156" s="379" t="s">
        <v>1126</v>
      </c>
      <c r="G156" s="373"/>
      <c r="H156" s="378" t="s">
        <v>1159</v>
      </c>
      <c r="I156" s="378" t="s">
        <v>1122</v>
      </c>
      <c r="J156" s="378">
        <v>50</v>
      </c>
      <c r="K156" s="442"/>
    </row>
    <row r="157" spans="2:11" s="184" customFormat="1" ht="15" customHeight="1">
      <c r="B157" s="423"/>
      <c r="C157" s="378" t="s">
        <v>216</v>
      </c>
      <c r="D157" s="373"/>
      <c r="E157" s="373"/>
      <c r="F157" s="379" t="s">
        <v>1126</v>
      </c>
      <c r="G157" s="373"/>
      <c r="H157" s="378" t="s">
        <v>1159</v>
      </c>
      <c r="I157" s="378" t="s">
        <v>1122</v>
      </c>
      <c r="J157" s="378">
        <v>50</v>
      </c>
      <c r="K157" s="442"/>
    </row>
    <row r="158" spans="2:11" s="184" customFormat="1" ht="15" customHeight="1">
      <c r="B158" s="423"/>
      <c r="C158" s="378" t="s">
        <v>1145</v>
      </c>
      <c r="D158" s="373"/>
      <c r="E158" s="373"/>
      <c r="F158" s="379" t="s">
        <v>1126</v>
      </c>
      <c r="G158" s="373"/>
      <c r="H158" s="378" t="s">
        <v>1159</v>
      </c>
      <c r="I158" s="378" t="s">
        <v>1122</v>
      </c>
      <c r="J158" s="378">
        <v>50</v>
      </c>
      <c r="K158" s="442"/>
    </row>
    <row r="159" spans="2:11" s="184" customFormat="1" ht="15" customHeight="1">
      <c r="B159" s="423"/>
      <c r="C159" s="378" t="s">
        <v>585</v>
      </c>
      <c r="D159" s="373"/>
      <c r="E159" s="373"/>
      <c r="F159" s="379" t="s">
        <v>191</v>
      </c>
      <c r="G159" s="373"/>
      <c r="H159" s="378" t="s">
        <v>1181</v>
      </c>
      <c r="I159" s="378" t="s">
        <v>1122</v>
      </c>
      <c r="J159" s="378" t="s">
        <v>1182</v>
      </c>
      <c r="K159" s="442"/>
    </row>
    <row r="160" spans="2:11" s="184" customFormat="1" ht="15" customHeight="1">
      <c r="B160" s="423"/>
      <c r="C160" s="378" t="s">
        <v>1183</v>
      </c>
      <c r="D160" s="373"/>
      <c r="E160" s="373"/>
      <c r="F160" s="379" t="s">
        <v>191</v>
      </c>
      <c r="G160" s="373"/>
      <c r="H160" s="378" t="s">
        <v>1184</v>
      </c>
      <c r="I160" s="378" t="s">
        <v>1154</v>
      </c>
      <c r="J160" s="378"/>
      <c r="K160" s="442"/>
    </row>
    <row r="161" spans="2:11" s="184" customFormat="1" ht="15" customHeight="1">
      <c r="B161" s="446"/>
      <c r="C161" s="429"/>
      <c r="D161" s="429"/>
      <c r="E161" s="429"/>
      <c r="F161" s="429"/>
      <c r="G161" s="429"/>
      <c r="H161" s="429"/>
      <c r="I161" s="429"/>
      <c r="J161" s="429"/>
      <c r="K161" s="447"/>
    </row>
    <row r="162" spans="2:11" s="184" customFormat="1" ht="18.75" customHeight="1">
      <c r="B162" s="431"/>
      <c r="C162" s="422"/>
      <c r="D162" s="422"/>
      <c r="E162" s="422"/>
      <c r="F162" s="448"/>
      <c r="G162" s="422"/>
      <c r="H162" s="422"/>
      <c r="I162" s="422"/>
      <c r="J162" s="422"/>
      <c r="K162" s="431"/>
    </row>
    <row r="163" spans="2:11" s="184" customFormat="1" ht="18.75" customHeight="1">
      <c r="B163" s="410"/>
      <c r="C163" s="410"/>
      <c r="D163" s="410"/>
      <c r="E163" s="410"/>
      <c r="F163" s="410"/>
      <c r="G163" s="410"/>
      <c r="H163" s="410"/>
      <c r="I163" s="410"/>
      <c r="J163" s="410"/>
      <c r="K163" s="410"/>
    </row>
    <row r="164" spans="2:11" s="184" customFormat="1" ht="7.5" customHeight="1">
      <c r="B164" s="398"/>
      <c r="C164" s="399"/>
      <c r="D164" s="399"/>
      <c r="E164" s="399"/>
      <c r="F164" s="399"/>
      <c r="G164" s="399"/>
      <c r="H164" s="399"/>
      <c r="I164" s="399"/>
      <c r="J164" s="399"/>
      <c r="K164" s="400"/>
    </row>
    <row r="165" spans="2:11" s="184" customFormat="1" ht="45" customHeight="1">
      <c r="B165" s="401"/>
      <c r="C165" s="629" t="s">
        <v>1185</v>
      </c>
      <c r="D165" s="629"/>
      <c r="E165" s="629"/>
      <c r="F165" s="629"/>
      <c r="G165" s="629"/>
      <c r="H165" s="629"/>
      <c r="I165" s="629"/>
      <c r="J165" s="629"/>
      <c r="K165" s="402"/>
    </row>
    <row r="166" spans="2:11" s="184" customFormat="1" ht="17.25" customHeight="1">
      <c r="B166" s="401"/>
      <c r="C166" s="416" t="s">
        <v>1115</v>
      </c>
      <c r="D166" s="416"/>
      <c r="E166" s="416"/>
      <c r="F166" s="416" t="s">
        <v>1116</v>
      </c>
      <c r="G166" s="449"/>
      <c r="H166" s="450" t="s">
        <v>24</v>
      </c>
      <c r="I166" s="450" t="s">
        <v>551</v>
      </c>
      <c r="J166" s="416" t="s">
        <v>1117</v>
      </c>
      <c r="K166" s="402"/>
    </row>
    <row r="167" spans="2:11" s="184" customFormat="1" ht="17.25" customHeight="1">
      <c r="B167" s="403"/>
      <c r="C167" s="418" t="s">
        <v>1118</v>
      </c>
      <c r="D167" s="418"/>
      <c r="E167" s="418"/>
      <c r="F167" s="419" t="s">
        <v>1119</v>
      </c>
      <c r="G167" s="451"/>
      <c r="H167" s="452"/>
      <c r="I167" s="452"/>
      <c r="J167" s="418" t="s">
        <v>1120</v>
      </c>
      <c r="K167" s="404"/>
    </row>
    <row r="168" spans="2:11" s="184" customFormat="1" ht="5.25" customHeight="1">
      <c r="B168" s="423"/>
      <c r="C168" s="421"/>
      <c r="D168" s="421"/>
      <c r="E168" s="421"/>
      <c r="F168" s="421"/>
      <c r="G168" s="422"/>
      <c r="H168" s="421"/>
      <c r="I168" s="421"/>
      <c r="J168" s="421"/>
      <c r="K168" s="442"/>
    </row>
    <row r="169" spans="2:11" s="184" customFormat="1" ht="15" customHeight="1">
      <c r="B169" s="423"/>
      <c r="C169" s="373" t="s">
        <v>1123</v>
      </c>
      <c r="D169" s="373"/>
      <c r="E169" s="373"/>
      <c r="F169" s="377" t="s">
        <v>191</v>
      </c>
      <c r="G169" s="373"/>
      <c r="H169" s="373" t="s">
        <v>1159</v>
      </c>
      <c r="I169" s="373" t="s">
        <v>1122</v>
      </c>
      <c r="J169" s="373">
        <v>120</v>
      </c>
      <c r="K169" s="442"/>
    </row>
    <row r="170" spans="2:11" s="184" customFormat="1" ht="15" customHeight="1">
      <c r="B170" s="423"/>
      <c r="C170" s="373" t="s">
        <v>1168</v>
      </c>
      <c r="D170" s="373"/>
      <c r="E170" s="373"/>
      <c r="F170" s="377" t="s">
        <v>191</v>
      </c>
      <c r="G170" s="373"/>
      <c r="H170" s="373" t="s">
        <v>1169</v>
      </c>
      <c r="I170" s="373" t="s">
        <v>1122</v>
      </c>
      <c r="J170" s="373" t="s">
        <v>1170</v>
      </c>
      <c r="K170" s="442"/>
    </row>
    <row r="171" spans="2:11" s="184" customFormat="1" ht="15" customHeight="1">
      <c r="B171" s="423"/>
      <c r="C171" s="373" t="s">
        <v>574</v>
      </c>
      <c r="D171" s="373"/>
      <c r="E171" s="373"/>
      <c r="F171" s="377" t="s">
        <v>191</v>
      </c>
      <c r="G171" s="373"/>
      <c r="H171" s="373" t="s">
        <v>1186</v>
      </c>
      <c r="I171" s="373" t="s">
        <v>1122</v>
      </c>
      <c r="J171" s="373" t="s">
        <v>1170</v>
      </c>
      <c r="K171" s="442"/>
    </row>
    <row r="172" spans="2:11" s="184" customFormat="1" ht="15" customHeight="1">
      <c r="B172" s="423"/>
      <c r="C172" s="373" t="s">
        <v>1125</v>
      </c>
      <c r="D172" s="373"/>
      <c r="E172" s="373"/>
      <c r="F172" s="377" t="s">
        <v>1126</v>
      </c>
      <c r="G172" s="373"/>
      <c r="H172" s="373" t="s">
        <v>1186</v>
      </c>
      <c r="I172" s="373" t="s">
        <v>1122</v>
      </c>
      <c r="J172" s="373">
        <v>50</v>
      </c>
      <c r="K172" s="442"/>
    </row>
    <row r="173" spans="2:11" s="184" customFormat="1" ht="15" customHeight="1">
      <c r="B173" s="423"/>
      <c r="C173" s="373" t="s">
        <v>1128</v>
      </c>
      <c r="D173" s="373"/>
      <c r="E173" s="373"/>
      <c r="F173" s="377" t="s">
        <v>191</v>
      </c>
      <c r="G173" s="373"/>
      <c r="H173" s="373" t="s">
        <v>1186</v>
      </c>
      <c r="I173" s="373" t="s">
        <v>1130</v>
      </c>
      <c r="J173" s="373"/>
      <c r="K173" s="442"/>
    </row>
    <row r="174" spans="2:11" s="184" customFormat="1" ht="15" customHeight="1">
      <c r="B174" s="423"/>
      <c r="C174" s="373" t="s">
        <v>1139</v>
      </c>
      <c r="D174" s="373"/>
      <c r="E174" s="373"/>
      <c r="F174" s="377" t="s">
        <v>1126</v>
      </c>
      <c r="G174" s="373"/>
      <c r="H174" s="373" t="s">
        <v>1186</v>
      </c>
      <c r="I174" s="373" t="s">
        <v>1122</v>
      </c>
      <c r="J174" s="373">
        <v>50</v>
      </c>
      <c r="K174" s="442"/>
    </row>
    <row r="175" spans="2:11" s="184" customFormat="1" ht="15" customHeight="1">
      <c r="B175" s="423"/>
      <c r="C175" s="373" t="s">
        <v>216</v>
      </c>
      <c r="D175" s="373"/>
      <c r="E175" s="373"/>
      <c r="F175" s="377" t="s">
        <v>1126</v>
      </c>
      <c r="G175" s="373"/>
      <c r="H175" s="373" t="s">
        <v>1186</v>
      </c>
      <c r="I175" s="373" t="s">
        <v>1122</v>
      </c>
      <c r="J175" s="373">
        <v>50</v>
      </c>
      <c r="K175" s="442"/>
    </row>
    <row r="176" spans="2:11" s="184" customFormat="1" ht="15" customHeight="1">
      <c r="B176" s="423"/>
      <c r="C176" s="373" t="s">
        <v>1145</v>
      </c>
      <c r="D176" s="373"/>
      <c r="E176" s="373"/>
      <c r="F176" s="377" t="s">
        <v>1126</v>
      </c>
      <c r="G176" s="373"/>
      <c r="H176" s="373" t="s">
        <v>1186</v>
      </c>
      <c r="I176" s="373" t="s">
        <v>1122</v>
      </c>
      <c r="J176" s="373">
        <v>50</v>
      </c>
      <c r="K176" s="442"/>
    </row>
    <row r="177" spans="2:11" s="184" customFormat="1" ht="15" customHeight="1">
      <c r="B177" s="423"/>
      <c r="C177" s="373" t="s">
        <v>597</v>
      </c>
      <c r="D177" s="373"/>
      <c r="E177" s="373"/>
      <c r="F177" s="377" t="s">
        <v>191</v>
      </c>
      <c r="G177" s="373"/>
      <c r="H177" s="373" t="s">
        <v>1187</v>
      </c>
      <c r="I177" s="373" t="s">
        <v>1188</v>
      </c>
      <c r="J177" s="373"/>
      <c r="K177" s="442"/>
    </row>
    <row r="178" spans="2:11" s="184" customFormat="1" ht="15" customHeight="1">
      <c r="B178" s="423"/>
      <c r="C178" s="373" t="s">
        <v>551</v>
      </c>
      <c r="D178" s="373"/>
      <c r="E178" s="373"/>
      <c r="F178" s="377" t="s">
        <v>191</v>
      </c>
      <c r="G178" s="373"/>
      <c r="H178" s="373" t="s">
        <v>1189</v>
      </c>
      <c r="I178" s="373" t="s">
        <v>1190</v>
      </c>
      <c r="J178" s="373">
        <v>1</v>
      </c>
      <c r="K178" s="442"/>
    </row>
    <row r="179" spans="2:11" s="184" customFormat="1" ht="15" customHeight="1">
      <c r="B179" s="423"/>
      <c r="C179" s="373" t="s">
        <v>23</v>
      </c>
      <c r="D179" s="373"/>
      <c r="E179" s="373"/>
      <c r="F179" s="377" t="s">
        <v>191</v>
      </c>
      <c r="G179" s="373"/>
      <c r="H179" s="373" t="s">
        <v>1191</v>
      </c>
      <c r="I179" s="373" t="s">
        <v>1122</v>
      </c>
      <c r="J179" s="373">
        <v>20</v>
      </c>
      <c r="K179" s="442"/>
    </row>
    <row r="180" spans="2:11" s="184" customFormat="1" ht="15" customHeight="1">
      <c r="B180" s="423"/>
      <c r="C180" s="373" t="s">
        <v>24</v>
      </c>
      <c r="D180" s="373"/>
      <c r="E180" s="373"/>
      <c r="F180" s="377" t="s">
        <v>191</v>
      </c>
      <c r="G180" s="373"/>
      <c r="H180" s="373" t="s">
        <v>1192</v>
      </c>
      <c r="I180" s="373" t="s">
        <v>1122</v>
      </c>
      <c r="J180" s="373">
        <v>255</v>
      </c>
      <c r="K180" s="442"/>
    </row>
    <row r="181" spans="2:11" s="184" customFormat="1" ht="15" customHeight="1">
      <c r="B181" s="423"/>
      <c r="C181" s="373" t="s">
        <v>25</v>
      </c>
      <c r="D181" s="373"/>
      <c r="E181" s="373"/>
      <c r="F181" s="377" t="s">
        <v>191</v>
      </c>
      <c r="G181" s="373"/>
      <c r="H181" s="373" t="s">
        <v>1085</v>
      </c>
      <c r="I181" s="373" t="s">
        <v>1122</v>
      </c>
      <c r="J181" s="373">
        <v>10</v>
      </c>
      <c r="K181" s="442"/>
    </row>
    <row r="182" spans="2:11" s="184" customFormat="1" ht="15" customHeight="1">
      <c r="B182" s="423"/>
      <c r="C182" s="373" t="s">
        <v>233</v>
      </c>
      <c r="D182" s="373"/>
      <c r="E182" s="373"/>
      <c r="F182" s="377" t="s">
        <v>191</v>
      </c>
      <c r="G182" s="373"/>
      <c r="H182" s="373" t="s">
        <v>1193</v>
      </c>
      <c r="I182" s="373" t="s">
        <v>1154</v>
      </c>
      <c r="J182" s="373"/>
      <c r="K182" s="442"/>
    </row>
    <row r="183" spans="2:11" s="184" customFormat="1" ht="15" customHeight="1">
      <c r="B183" s="423"/>
      <c r="C183" s="373" t="s">
        <v>1194</v>
      </c>
      <c r="D183" s="373"/>
      <c r="E183" s="373"/>
      <c r="F183" s="377" t="s">
        <v>191</v>
      </c>
      <c r="G183" s="373"/>
      <c r="H183" s="373" t="s">
        <v>1195</v>
      </c>
      <c r="I183" s="373" t="s">
        <v>1154</v>
      </c>
      <c r="J183" s="373"/>
      <c r="K183" s="442"/>
    </row>
    <row r="184" spans="2:11" s="184" customFormat="1" ht="15" customHeight="1">
      <c r="B184" s="423"/>
      <c r="C184" s="373" t="s">
        <v>1183</v>
      </c>
      <c r="D184" s="373"/>
      <c r="E184" s="373"/>
      <c r="F184" s="377" t="s">
        <v>191</v>
      </c>
      <c r="G184" s="373"/>
      <c r="H184" s="373" t="s">
        <v>1196</v>
      </c>
      <c r="I184" s="373" t="s">
        <v>1154</v>
      </c>
      <c r="J184" s="373"/>
      <c r="K184" s="442"/>
    </row>
    <row r="185" spans="2:11" s="184" customFormat="1" ht="15" customHeight="1">
      <c r="B185" s="423"/>
      <c r="C185" s="373" t="s">
        <v>599</v>
      </c>
      <c r="D185" s="373"/>
      <c r="E185" s="373"/>
      <c r="F185" s="377" t="s">
        <v>1126</v>
      </c>
      <c r="G185" s="373"/>
      <c r="H185" s="373" t="s">
        <v>1197</v>
      </c>
      <c r="I185" s="373" t="s">
        <v>1122</v>
      </c>
      <c r="J185" s="373">
        <v>50</v>
      </c>
      <c r="K185" s="442"/>
    </row>
    <row r="186" spans="2:11" s="184" customFormat="1" ht="15" customHeight="1">
      <c r="B186" s="423"/>
      <c r="C186" s="373" t="s">
        <v>1198</v>
      </c>
      <c r="D186" s="373"/>
      <c r="E186" s="373"/>
      <c r="F186" s="377" t="s">
        <v>1126</v>
      </c>
      <c r="G186" s="373"/>
      <c r="H186" s="373" t="s">
        <v>1199</v>
      </c>
      <c r="I186" s="373" t="s">
        <v>1200</v>
      </c>
      <c r="J186" s="373"/>
      <c r="K186" s="442"/>
    </row>
    <row r="187" spans="2:11" s="184" customFormat="1" ht="15" customHeight="1">
      <c r="B187" s="423"/>
      <c r="C187" s="373" t="s">
        <v>1201</v>
      </c>
      <c r="D187" s="373"/>
      <c r="E187" s="373"/>
      <c r="F187" s="377" t="s">
        <v>1126</v>
      </c>
      <c r="G187" s="373"/>
      <c r="H187" s="373" t="s">
        <v>1202</v>
      </c>
      <c r="I187" s="373" t="s">
        <v>1200</v>
      </c>
      <c r="J187" s="373"/>
      <c r="K187" s="442"/>
    </row>
    <row r="188" spans="2:11" s="184" customFormat="1" ht="15" customHeight="1">
      <c r="B188" s="423"/>
      <c r="C188" s="373" t="s">
        <v>1203</v>
      </c>
      <c r="D188" s="373"/>
      <c r="E188" s="373"/>
      <c r="F188" s="377" t="s">
        <v>1126</v>
      </c>
      <c r="G188" s="373"/>
      <c r="H188" s="373" t="s">
        <v>1204</v>
      </c>
      <c r="I188" s="373" t="s">
        <v>1200</v>
      </c>
      <c r="J188" s="373"/>
      <c r="K188" s="442"/>
    </row>
    <row r="189" spans="2:11" s="184" customFormat="1" ht="15" customHeight="1">
      <c r="B189" s="423"/>
      <c r="C189" s="380" t="s">
        <v>1205</v>
      </c>
      <c r="D189" s="373"/>
      <c r="E189" s="373"/>
      <c r="F189" s="377" t="s">
        <v>1126</v>
      </c>
      <c r="G189" s="373"/>
      <c r="H189" s="373" t="s">
        <v>1206</v>
      </c>
      <c r="I189" s="373" t="s">
        <v>1207</v>
      </c>
      <c r="J189" s="381" t="s">
        <v>1208</v>
      </c>
      <c r="K189" s="442"/>
    </row>
    <row r="190" spans="2:11" s="184" customFormat="1" ht="15" customHeight="1">
      <c r="B190" s="423"/>
      <c r="C190" s="380" t="s">
        <v>1243</v>
      </c>
      <c r="D190" s="373"/>
      <c r="E190" s="373"/>
      <c r="F190" s="377" t="s">
        <v>1126</v>
      </c>
      <c r="G190" s="373"/>
      <c r="H190" s="373" t="s">
        <v>1244</v>
      </c>
      <c r="I190" s="373" t="s">
        <v>1207</v>
      </c>
      <c r="J190" s="381" t="s">
        <v>1208</v>
      </c>
      <c r="K190" s="442"/>
    </row>
    <row r="191" spans="2:11" s="184" customFormat="1" ht="15" customHeight="1">
      <c r="B191" s="423"/>
      <c r="C191" s="380" t="s">
        <v>538</v>
      </c>
      <c r="D191" s="373"/>
      <c r="E191" s="373"/>
      <c r="F191" s="377" t="s">
        <v>191</v>
      </c>
      <c r="G191" s="373"/>
      <c r="H191" s="371" t="s">
        <v>1209</v>
      </c>
      <c r="I191" s="373" t="s">
        <v>1210</v>
      </c>
      <c r="J191" s="373"/>
      <c r="K191" s="442"/>
    </row>
    <row r="192" spans="2:11" s="184" customFormat="1" ht="15" customHeight="1">
      <c r="B192" s="423"/>
      <c r="C192" s="380" t="s">
        <v>1211</v>
      </c>
      <c r="D192" s="373"/>
      <c r="E192" s="373"/>
      <c r="F192" s="377" t="s">
        <v>191</v>
      </c>
      <c r="G192" s="373"/>
      <c r="H192" s="373" t="s">
        <v>1212</v>
      </c>
      <c r="I192" s="373" t="s">
        <v>1154</v>
      </c>
      <c r="J192" s="373"/>
      <c r="K192" s="442"/>
    </row>
    <row r="193" spans="2:11" s="184" customFormat="1" ht="15" customHeight="1">
      <c r="B193" s="423"/>
      <c r="C193" s="380" t="s">
        <v>1213</v>
      </c>
      <c r="D193" s="373"/>
      <c r="E193" s="373"/>
      <c r="F193" s="377" t="s">
        <v>191</v>
      </c>
      <c r="G193" s="373"/>
      <c r="H193" s="373" t="s">
        <v>1214</v>
      </c>
      <c r="I193" s="373" t="s">
        <v>1154</v>
      </c>
      <c r="J193" s="373"/>
      <c r="K193" s="442"/>
    </row>
    <row r="194" spans="2:11" s="184" customFormat="1" ht="15" customHeight="1">
      <c r="B194" s="423"/>
      <c r="C194" s="380" t="s">
        <v>1215</v>
      </c>
      <c r="D194" s="373"/>
      <c r="E194" s="373"/>
      <c r="F194" s="377" t="s">
        <v>1126</v>
      </c>
      <c r="G194" s="373"/>
      <c r="H194" s="373" t="s">
        <v>1216</v>
      </c>
      <c r="I194" s="373" t="s">
        <v>1154</v>
      </c>
      <c r="J194" s="373"/>
      <c r="K194" s="442"/>
    </row>
    <row r="195" spans="2:11" s="184" customFormat="1" ht="15" customHeight="1">
      <c r="B195" s="446"/>
      <c r="C195" s="382"/>
      <c r="D195" s="429"/>
      <c r="E195" s="429"/>
      <c r="F195" s="429"/>
      <c r="G195" s="429"/>
      <c r="H195" s="429"/>
      <c r="I195" s="429"/>
      <c r="J195" s="429"/>
      <c r="K195" s="447"/>
    </row>
    <row r="196" spans="2:11" s="184" customFormat="1" ht="18.75" customHeight="1">
      <c r="B196" s="431"/>
      <c r="C196" s="422"/>
      <c r="D196" s="422"/>
      <c r="E196" s="422"/>
      <c r="F196" s="448"/>
      <c r="G196" s="422"/>
      <c r="H196" s="422"/>
      <c r="I196" s="422"/>
      <c r="J196" s="422"/>
      <c r="K196" s="431"/>
    </row>
    <row r="197" spans="2:11" s="184" customFormat="1" ht="18.75" customHeight="1">
      <c r="B197" s="431"/>
      <c r="C197" s="422"/>
      <c r="D197" s="422"/>
      <c r="E197" s="422"/>
      <c r="F197" s="448"/>
      <c r="G197" s="422"/>
      <c r="H197" s="422"/>
      <c r="I197" s="422"/>
      <c r="J197" s="422"/>
      <c r="K197" s="431"/>
    </row>
    <row r="198" spans="2:11" s="184" customFormat="1" ht="18.75" customHeight="1">
      <c r="B198" s="410"/>
      <c r="C198" s="410"/>
      <c r="D198" s="410"/>
      <c r="E198" s="410"/>
      <c r="F198" s="410"/>
      <c r="G198" s="410"/>
      <c r="H198" s="410"/>
      <c r="I198" s="410"/>
      <c r="J198" s="410"/>
      <c r="K198" s="410"/>
    </row>
    <row r="199" spans="2:11" s="184" customFormat="1" ht="13.5">
      <c r="B199" s="398"/>
      <c r="C199" s="399"/>
      <c r="D199" s="399"/>
      <c r="E199" s="399"/>
      <c r="F199" s="399"/>
      <c r="G199" s="399"/>
      <c r="H199" s="399"/>
      <c r="I199" s="399"/>
      <c r="J199" s="399"/>
      <c r="K199" s="400"/>
    </row>
    <row r="200" spans="2:11" s="184" customFormat="1" ht="21">
      <c r="B200" s="401"/>
      <c r="C200" s="629" t="s">
        <v>1217</v>
      </c>
      <c r="D200" s="629"/>
      <c r="E200" s="629"/>
      <c r="F200" s="629"/>
      <c r="G200" s="629"/>
      <c r="H200" s="629"/>
      <c r="I200" s="629"/>
      <c r="J200" s="629"/>
      <c r="K200" s="402"/>
    </row>
    <row r="201" spans="2:11" s="184" customFormat="1" ht="25.5" customHeight="1">
      <c r="B201" s="401"/>
      <c r="C201" s="453" t="s">
        <v>1218</v>
      </c>
      <c r="D201" s="453"/>
      <c r="E201" s="453"/>
      <c r="F201" s="453" t="s">
        <v>1219</v>
      </c>
      <c r="G201" s="454"/>
      <c r="H201" s="634" t="s">
        <v>1220</v>
      </c>
      <c r="I201" s="634"/>
      <c r="J201" s="634"/>
      <c r="K201" s="402"/>
    </row>
    <row r="202" spans="2:11" s="184" customFormat="1" ht="5.25" customHeight="1">
      <c r="B202" s="423"/>
      <c r="C202" s="421"/>
      <c r="D202" s="421"/>
      <c r="E202" s="421"/>
      <c r="F202" s="421"/>
      <c r="G202" s="422"/>
      <c r="H202" s="421"/>
      <c r="I202" s="421"/>
      <c r="J202" s="421"/>
      <c r="K202" s="442"/>
    </row>
    <row r="203" spans="2:11" s="184" customFormat="1" ht="15" customHeight="1">
      <c r="B203" s="423"/>
      <c r="C203" s="373" t="s">
        <v>1210</v>
      </c>
      <c r="D203" s="373"/>
      <c r="E203" s="373"/>
      <c r="F203" s="377" t="s">
        <v>539</v>
      </c>
      <c r="G203" s="373"/>
      <c r="H203" s="635" t="s">
        <v>1221</v>
      </c>
      <c r="I203" s="635"/>
      <c r="J203" s="635"/>
      <c r="K203" s="442"/>
    </row>
    <row r="204" spans="2:11" s="184" customFormat="1" ht="15" customHeight="1">
      <c r="B204" s="423"/>
      <c r="C204" s="373"/>
      <c r="D204" s="373"/>
      <c r="E204" s="373"/>
      <c r="F204" s="377" t="s">
        <v>540</v>
      </c>
      <c r="G204" s="373"/>
      <c r="H204" s="635" t="s">
        <v>1222</v>
      </c>
      <c r="I204" s="635"/>
      <c r="J204" s="635"/>
      <c r="K204" s="442"/>
    </row>
    <row r="205" spans="2:11" s="184" customFormat="1" ht="15" customHeight="1">
      <c r="B205" s="423"/>
      <c r="C205" s="373"/>
      <c r="D205" s="373"/>
      <c r="E205" s="373"/>
      <c r="F205" s="377" t="s">
        <v>543</v>
      </c>
      <c r="G205" s="373"/>
      <c r="H205" s="635" t="s">
        <v>1223</v>
      </c>
      <c r="I205" s="635"/>
      <c r="J205" s="635"/>
      <c r="K205" s="442"/>
    </row>
    <row r="206" spans="2:11" s="184" customFormat="1" ht="15" customHeight="1">
      <c r="B206" s="423"/>
      <c r="C206" s="373"/>
      <c r="D206" s="373"/>
      <c r="E206" s="373"/>
      <c r="F206" s="377" t="s">
        <v>541</v>
      </c>
      <c r="G206" s="373"/>
      <c r="H206" s="635" t="s">
        <v>1224</v>
      </c>
      <c r="I206" s="635"/>
      <c r="J206" s="635"/>
      <c r="K206" s="442"/>
    </row>
    <row r="207" spans="2:11" s="184" customFormat="1" ht="15" customHeight="1">
      <c r="B207" s="423"/>
      <c r="C207" s="373"/>
      <c r="D207" s="373"/>
      <c r="E207" s="373"/>
      <c r="F207" s="377" t="s">
        <v>542</v>
      </c>
      <c r="G207" s="373"/>
      <c r="H207" s="635" t="s">
        <v>1225</v>
      </c>
      <c r="I207" s="635"/>
      <c r="J207" s="635"/>
      <c r="K207" s="442"/>
    </row>
    <row r="208" spans="2:11" s="184" customFormat="1" ht="15" customHeight="1">
      <c r="B208" s="423"/>
      <c r="C208" s="373"/>
      <c r="D208" s="373"/>
      <c r="E208" s="373"/>
      <c r="F208" s="377"/>
      <c r="G208" s="373"/>
      <c r="H208" s="373"/>
      <c r="I208" s="373"/>
      <c r="J208" s="373"/>
      <c r="K208" s="442"/>
    </row>
    <row r="209" spans="2:11" s="184" customFormat="1" ht="15" customHeight="1">
      <c r="B209" s="423"/>
      <c r="C209" s="373" t="s">
        <v>1166</v>
      </c>
      <c r="D209" s="373"/>
      <c r="E209" s="373"/>
      <c r="F209" s="377" t="s">
        <v>571</v>
      </c>
      <c r="G209" s="373"/>
      <c r="H209" s="635" t="s">
        <v>1226</v>
      </c>
      <c r="I209" s="635"/>
      <c r="J209" s="635"/>
      <c r="K209" s="442"/>
    </row>
    <row r="210" spans="2:11" s="184" customFormat="1" ht="15" customHeight="1">
      <c r="B210" s="423"/>
      <c r="C210" s="373"/>
      <c r="D210" s="373"/>
      <c r="E210" s="373"/>
      <c r="F210" s="377" t="s">
        <v>1066</v>
      </c>
      <c r="G210" s="373"/>
      <c r="H210" s="635" t="s">
        <v>1067</v>
      </c>
      <c r="I210" s="635"/>
      <c r="J210" s="635"/>
      <c r="K210" s="442"/>
    </row>
    <row r="211" spans="2:11" s="184" customFormat="1" ht="15" customHeight="1">
      <c r="B211" s="423"/>
      <c r="C211" s="373"/>
      <c r="D211" s="373"/>
      <c r="E211" s="373"/>
      <c r="F211" s="377" t="s">
        <v>1064</v>
      </c>
      <c r="G211" s="373"/>
      <c r="H211" s="635" t="s">
        <v>1227</v>
      </c>
      <c r="I211" s="635"/>
      <c r="J211" s="635"/>
      <c r="K211" s="442"/>
    </row>
    <row r="212" spans="2:11" s="184" customFormat="1" ht="15" customHeight="1">
      <c r="B212" s="455"/>
      <c r="C212" s="373"/>
      <c r="D212" s="373"/>
      <c r="E212" s="373"/>
      <c r="F212" s="377" t="s">
        <v>1068</v>
      </c>
      <c r="G212" s="380"/>
      <c r="H212" s="633" t="s">
        <v>1069</v>
      </c>
      <c r="I212" s="633"/>
      <c r="J212" s="633"/>
      <c r="K212" s="456"/>
    </row>
    <row r="213" spans="2:11" s="184" customFormat="1" ht="15" customHeight="1">
      <c r="B213" s="455"/>
      <c r="C213" s="373"/>
      <c r="D213" s="373"/>
      <c r="E213" s="373"/>
      <c r="F213" s="377" t="s">
        <v>1070</v>
      </c>
      <c r="G213" s="380"/>
      <c r="H213" s="633" t="s">
        <v>128</v>
      </c>
      <c r="I213" s="633"/>
      <c r="J213" s="633"/>
      <c r="K213" s="456"/>
    </row>
    <row r="214" spans="2:11" s="184" customFormat="1" ht="15" customHeight="1">
      <c r="B214" s="455"/>
      <c r="C214" s="373"/>
      <c r="D214" s="373"/>
      <c r="E214" s="373"/>
      <c r="F214" s="377"/>
      <c r="G214" s="380"/>
      <c r="H214" s="378"/>
      <c r="I214" s="378"/>
      <c r="J214" s="378"/>
      <c r="K214" s="456"/>
    </row>
    <row r="215" spans="2:11" s="184" customFormat="1" ht="15" customHeight="1">
      <c r="B215" s="455"/>
      <c r="C215" s="373" t="s">
        <v>1190</v>
      </c>
      <c r="D215" s="373"/>
      <c r="E215" s="373"/>
      <c r="F215" s="377">
        <v>1</v>
      </c>
      <c r="G215" s="380"/>
      <c r="H215" s="633" t="s">
        <v>1228</v>
      </c>
      <c r="I215" s="633"/>
      <c r="J215" s="633"/>
      <c r="K215" s="456"/>
    </row>
    <row r="216" spans="2:11" s="184" customFormat="1" ht="15" customHeight="1">
      <c r="B216" s="455"/>
      <c r="C216" s="373"/>
      <c r="D216" s="373"/>
      <c r="E216" s="373"/>
      <c r="F216" s="377">
        <v>2</v>
      </c>
      <c r="G216" s="380"/>
      <c r="H216" s="633" t="s">
        <v>1229</v>
      </c>
      <c r="I216" s="633"/>
      <c r="J216" s="633"/>
      <c r="K216" s="456"/>
    </row>
    <row r="217" spans="2:11" s="184" customFormat="1" ht="15" customHeight="1">
      <c r="B217" s="455"/>
      <c r="C217" s="373"/>
      <c r="D217" s="373"/>
      <c r="E217" s="373"/>
      <c r="F217" s="377">
        <v>3</v>
      </c>
      <c r="G217" s="380"/>
      <c r="H217" s="633" t="s">
        <v>1230</v>
      </c>
      <c r="I217" s="633"/>
      <c r="J217" s="633"/>
      <c r="K217" s="456"/>
    </row>
    <row r="218" spans="2:11" s="184" customFormat="1" ht="15" customHeight="1">
      <c r="B218" s="455"/>
      <c r="C218" s="373"/>
      <c r="D218" s="373"/>
      <c r="E218" s="373"/>
      <c r="F218" s="377">
        <v>4</v>
      </c>
      <c r="G218" s="380"/>
      <c r="H218" s="633" t="s">
        <v>1231</v>
      </c>
      <c r="I218" s="633"/>
      <c r="J218" s="633"/>
      <c r="K218" s="456"/>
    </row>
    <row r="219" spans="2:11" s="184" customFormat="1" ht="12.75" customHeight="1">
      <c r="B219" s="457"/>
      <c r="C219" s="458"/>
      <c r="D219" s="458"/>
      <c r="E219" s="458"/>
      <c r="F219" s="458"/>
      <c r="G219" s="458"/>
      <c r="H219" s="458"/>
      <c r="I219" s="458"/>
      <c r="J219" s="458"/>
      <c r="K219" s="459"/>
    </row>
  </sheetData>
  <sheetProtection formatCells="0" formatColumns="0" formatRows="0" insertColumns="0" insertRows="0" insertHyperlinks="0" deleteColumns="0" deleteRows="0" sort="0" autoFilter="0" pivotTables="0"/>
  <mergeCells count="77">
    <mergeCell ref="H213:J213"/>
    <mergeCell ref="H215:J215"/>
    <mergeCell ref="H216:J216"/>
    <mergeCell ref="H217:J217"/>
    <mergeCell ref="H218:J218"/>
    <mergeCell ref="H212:J212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0:J210"/>
    <mergeCell ref="H211:J211"/>
    <mergeCell ref="C147:J147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D61:J61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47:J47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34:J34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F19:J19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8554-4381-42B9-8D01-1802EF2BCD8E}">
  <sheetPr>
    <pageSetUpPr fitToPage="1"/>
  </sheetPr>
  <dimension ref="A1:I37"/>
  <sheetViews>
    <sheetView showOutlineSymbols="0" workbookViewId="0" topLeftCell="A7">
      <selection activeCell="K28" sqref="K28"/>
    </sheetView>
  </sheetViews>
  <sheetFormatPr defaultColWidth="12.140625" defaultRowHeight="15" customHeight="1"/>
  <cols>
    <col min="1" max="2" width="12.140625" style="461" customWidth="1"/>
    <col min="3" max="3" width="24.421875" style="461" customWidth="1"/>
    <col min="4" max="5" width="12.140625" style="461" customWidth="1"/>
    <col min="6" max="6" width="21.28125" style="461" customWidth="1"/>
    <col min="7" max="8" width="12.140625" style="461" customWidth="1"/>
    <col min="9" max="9" width="25.28125" style="461" customWidth="1"/>
    <col min="10" max="16384" width="12.140625" style="461" customWidth="1"/>
  </cols>
  <sheetData>
    <row r="1" spans="1:9" ht="54.75" customHeight="1">
      <c r="A1" s="636" t="s">
        <v>178</v>
      </c>
      <c r="B1" s="637"/>
      <c r="C1" s="637"/>
      <c r="D1" s="637"/>
      <c r="E1" s="637"/>
      <c r="F1" s="637"/>
      <c r="G1" s="637"/>
      <c r="H1" s="637"/>
      <c r="I1" s="637"/>
    </row>
    <row r="2" spans="1:9" ht="15" customHeight="1">
      <c r="A2" s="638" t="s">
        <v>1</v>
      </c>
      <c r="B2" s="639"/>
      <c r="C2" s="642" t="str">
        <f>'[2]Stavební rozpočet'!C2</f>
        <v>Karlovy Vary, Sady Karla IV.-revitalizace veřejného prostranství</v>
      </c>
      <c r="D2" s="643"/>
      <c r="E2" s="645" t="s">
        <v>3</v>
      </c>
      <c r="F2" s="645" t="str">
        <f>'[2]Stavební rozpočet'!I2</f>
        <v> </v>
      </c>
      <c r="G2" s="639"/>
      <c r="H2" s="645" t="s">
        <v>179</v>
      </c>
      <c r="I2" s="646" t="s">
        <v>180</v>
      </c>
    </row>
    <row r="3" spans="1:9" ht="15" customHeight="1">
      <c r="A3" s="640"/>
      <c r="B3" s="641"/>
      <c r="C3" s="644"/>
      <c r="D3" s="644"/>
      <c r="E3" s="641"/>
      <c r="F3" s="641"/>
      <c r="G3" s="641"/>
      <c r="H3" s="641"/>
      <c r="I3" s="647"/>
    </row>
    <row r="4" spans="1:9" ht="15" customHeight="1">
      <c r="A4" s="648" t="s">
        <v>181</v>
      </c>
      <c r="B4" s="641"/>
      <c r="C4" s="649" t="str">
        <f>'[2]Stavební rozpočet'!C4</f>
        <v>SO04_Mobiliář a drobná architektura</v>
      </c>
      <c r="D4" s="641"/>
      <c r="E4" s="649" t="s">
        <v>182</v>
      </c>
      <c r="F4" s="649" t="str">
        <f>'[2]Stavební rozpočet'!I4</f>
        <v>Ing. Přemysl Krejčiřík, Ph.D.</v>
      </c>
      <c r="G4" s="641"/>
      <c r="H4" s="649" t="s">
        <v>179</v>
      </c>
      <c r="I4" s="647" t="s">
        <v>183</v>
      </c>
    </row>
    <row r="5" spans="1:9" ht="15" customHeight="1">
      <c r="A5" s="640"/>
      <c r="B5" s="641"/>
      <c r="C5" s="641"/>
      <c r="D5" s="641"/>
      <c r="E5" s="641"/>
      <c r="F5" s="641"/>
      <c r="G5" s="641"/>
      <c r="H5" s="641"/>
      <c r="I5" s="647"/>
    </row>
    <row r="6" spans="1:9" ht="15" customHeight="1">
      <c r="A6" s="648" t="s">
        <v>2</v>
      </c>
      <c r="B6" s="641"/>
      <c r="C6" s="649" t="str">
        <f>'[2]Stavební rozpočet'!C6</f>
        <v>Karlovy Vary</v>
      </c>
      <c r="D6" s="641"/>
      <c r="E6" s="649" t="s">
        <v>184</v>
      </c>
      <c r="F6" s="649" t="str">
        <f>'[2]Stavební rozpočet'!I6</f>
        <v> </v>
      </c>
      <c r="G6" s="641"/>
      <c r="H6" s="649" t="s">
        <v>179</v>
      </c>
      <c r="I6" s="647" t="s">
        <v>180</v>
      </c>
    </row>
    <row r="7" spans="1:9" ht="15" customHeight="1">
      <c r="A7" s="640"/>
      <c r="B7" s="641"/>
      <c r="C7" s="641"/>
      <c r="D7" s="641"/>
      <c r="E7" s="641"/>
      <c r="F7" s="641"/>
      <c r="G7" s="641"/>
      <c r="H7" s="641"/>
      <c r="I7" s="647"/>
    </row>
    <row r="8" spans="1:9" ht="15" customHeight="1">
      <c r="A8" s="648" t="s">
        <v>185</v>
      </c>
      <c r="B8" s="641"/>
      <c r="C8" s="649" t="str">
        <f>'[2]Stavební rozpočet'!G4</f>
        <v xml:space="preserve"> </v>
      </c>
      <c r="D8" s="641"/>
      <c r="E8" s="649" t="s">
        <v>186</v>
      </c>
      <c r="F8" s="649" t="str">
        <f>'[2]Stavební rozpočet'!G6</f>
        <v xml:space="preserve"> </v>
      </c>
      <c r="G8" s="641"/>
      <c r="H8" s="641" t="s">
        <v>187</v>
      </c>
      <c r="I8" s="652">
        <v>24</v>
      </c>
    </row>
    <row r="9" spans="1:9" ht="15" customHeight="1">
      <c r="A9" s="640"/>
      <c r="B9" s="641"/>
      <c r="C9" s="641"/>
      <c r="D9" s="641"/>
      <c r="E9" s="641"/>
      <c r="F9" s="641"/>
      <c r="G9" s="641"/>
      <c r="H9" s="641"/>
      <c r="I9" s="647"/>
    </row>
    <row r="10" spans="1:9" ht="15" customHeight="1">
      <c r="A10" s="648" t="s">
        <v>188</v>
      </c>
      <c r="B10" s="641"/>
      <c r="C10" s="649" t="str">
        <f>'[2]Stavební rozpočet'!C8</f>
        <v xml:space="preserve"> </v>
      </c>
      <c r="D10" s="641"/>
      <c r="E10" s="649" t="s">
        <v>189</v>
      </c>
      <c r="F10" s="649" t="str">
        <f>'[2]Stavební rozpočet'!I8</f>
        <v>Ing. Aneta Dalajková</v>
      </c>
      <c r="G10" s="641"/>
      <c r="H10" s="641" t="s">
        <v>4</v>
      </c>
      <c r="I10" s="650" t="str">
        <f>'[2]Stavební rozpočet'!G8</f>
        <v>18.12.2023</v>
      </c>
    </row>
    <row r="11" spans="1:9" ht="15" customHeight="1">
      <c r="A11" s="653"/>
      <c r="B11" s="654"/>
      <c r="C11" s="654"/>
      <c r="D11" s="654"/>
      <c r="E11" s="654"/>
      <c r="F11" s="654"/>
      <c r="G11" s="654"/>
      <c r="H11" s="654"/>
      <c r="I11" s="651"/>
    </row>
    <row r="12" spans="1:9" ht="22.5" customHeight="1">
      <c r="A12" s="655" t="s">
        <v>190</v>
      </c>
      <c r="B12" s="655"/>
      <c r="C12" s="655"/>
      <c r="D12" s="655"/>
      <c r="E12" s="655"/>
      <c r="F12" s="655"/>
      <c r="G12" s="655"/>
      <c r="H12" s="655"/>
      <c r="I12" s="655"/>
    </row>
    <row r="13" spans="1:9" ht="26.25" customHeight="1">
      <c r="A13" s="466" t="s">
        <v>191</v>
      </c>
      <c r="B13" s="656" t="s">
        <v>192</v>
      </c>
      <c r="C13" s="657"/>
      <c r="D13" s="467" t="s">
        <v>193</v>
      </c>
      <c r="E13" s="656" t="s">
        <v>194</v>
      </c>
      <c r="F13" s="657"/>
      <c r="G13" s="467" t="s">
        <v>195</v>
      </c>
      <c r="H13" s="656" t="s">
        <v>196</v>
      </c>
      <c r="I13" s="657"/>
    </row>
    <row r="14" spans="1:9" ht="15" customHeight="1">
      <c r="A14" s="468" t="s">
        <v>197</v>
      </c>
      <c r="B14" s="469" t="s">
        <v>198</v>
      </c>
      <c r="C14" s="470">
        <f>SUM('[2]Stavební rozpočet'!AB12:AB60)</f>
        <v>0</v>
      </c>
      <c r="D14" s="658"/>
      <c r="E14" s="659"/>
      <c r="F14" s="470"/>
      <c r="G14" s="658"/>
      <c r="H14" s="659"/>
      <c r="I14" s="471"/>
    </row>
    <row r="15" spans="1:9" ht="15" customHeight="1">
      <c r="A15" s="472" t="s">
        <v>180</v>
      </c>
      <c r="B15" s="469" t="s">
        <v>200</v>
      </c>
      <c r="C15" s="470">
        <f>SUM('[2]Stavební rozpočet'!AC12:AC60)</f>
        <v>0</v>
      </c>
      <c r="D15" s="658"/>
      <c r="E15" s="659"/>
      <c r="F15" s="470"/>
      <c r="G15" s="658"/>
      <c r="H15" s="659"/>
      <c r="I15" s="471"/>
    </row>
    <row r="16" spans="1:9" ht="15" customHeight="1">
      <c r="A16" s="468" t="s">
        <v>201</v>
      </c>
      <c r="B16" s="469" t="s">
        <v>198</v>
      </c>
      <c r="C16" s="470">
        <f>SUM('[2]Stavební rozpočet'!AD12:AD60)</f>
        <v>0</v>
      </c>
      <c r="D16" s="658"/>
      <c r="E16" s="659"/>
      <c r="F16" s="470"/>
      <c r="G16" s="658"/>
      <c r="H16" s="659"/>
      <c r="I16" s="471"/>
    </row>
    <row r="17" spans="1:9" ht="15" customHeight="1">
      <c r="A17" s="472" t="s">
        <v>180</v>
      </c>
      <c r="B17" s="469" t="s">
        <v>200</v>
      </c>
      <c r="C17" s="470">
        <f>SUM('[2]Stavební rozpočet'!AE12:AE60)</f>
        <v>0</v>
      </c>
      <c r="D17" s="658"/>
      <c r="E17" s="659"/>
      <c r="F17" s="471"/>
      <c r="G17" s="658"/>
      <c r="H17" s="659"/>
      <c r="I17" s="471"/>
    </row>
    <row r="18" spans="1:9" ht="15" customHeight="1">
      <c r="A18" s="468" t="s">
        <v>202</v>
      </c>
      <c r="B18" s="469" t="s">
        <v>198</v>
      </c>
      <c r="C18" s="470">
        <f>SUM('[2]Stavební rozpočet'!AF12:AF60)</f>
        <v>0</v>
      </c>
      <c r="D18" s="658"/>
      <c r="E18" s="659"/>
      <c r="F18" s="471"/>
      <c r="G18" s="658"/>
      <c r="H18" s="659"/>
      <c r="I18" s="471"/>
    </row>
    <row r="19" spans="1:9" ht="15" customHeight="1">
      <c r="A19" s="472" t="s">
        <v>180</v>
      </c>
      <c r="B19" s="469" t="s">
        <v>200</v>
      </c>
      <c r="C19" s="470">
        <f>SUM('[2]Stavební rozpočet'!AG12:AG60)</f>
        <v>0</v>
      </c>
      <c r="D19" s="658"/>
      <c r="E19" s="659"/>
      <c r="F19" s="471"/>
      <c r="G19" s="658"/>
      <c r="H19" s="659"/>
      <c r="I19" s="471"/>
    </row>
    <row r="20" spans="1:9" ht="15" customHeight="1">
      <c r="A20" s="660" t="s">
        <v>203</v>
      </c>
      <c r="B20" s="661"/>
      <c r="C20" s="470">
        <f>SUM('[2]Stavební rozpočet'!AH12:AH60)</f>
        <v>0</v>
      </c>
      <c r="D20" s="658" t="s">
        <v>180</v>
      </c>
      <c r="E20" s="659"/>
      <c r="F20" s="471" t="s">
        <v>180</v>
      </c>
      <c r="G20" s="658" t="s">
        <v>180</v>
      </c>
      <c r="H20" s="659"/>
      <c r="I20" s="471" t="s">
        <v>180</v>
      </c>
    </row>
    <row r="21" spans="1:9" ht="15" customHeight="1">
      <c r="A21" s="665" t="s">
        <v>204</v>
      </c>
      <c r="B21" s="666"/>
      <c r="C21" s="473">
        <f>SUM('[2]Stavební rozpočet'!Z12:Z60)</f>
        <v>0</v>
      </c>
      <c r="D21" s="667" t="s">
        <v>180</v>
      </c>
      <c r="E21" s="668"/>
      <c r="F21" s="474" t="s">
        <v>180</v>
      </c>
      <c r="G21" s="667" t="s">
        <v>180</v>
      </c>
      <c r="H21" s="668"/>
      <c r="I21" s="474" t="s">
        <v>180</v>
      </c>
    </row>
    <row r="22" spans="1:9" ht="16.5" customHeight="1">
      <c r="A22" s="669" t="s">
        <v>205</v>
      </c>
      <c r="B22" s="670"/>
      <c r="C22" s="475">
        <f>SUM(C14:C21)</f>
        <v>0</v>
      </c>
      <c r="D22" s="671" t="s">
        <v>206</v>
      </c>
      <c r="E22" s="670"/>
      <c r="F22" s="475">
        <f>SUM(F14:F21)</f>
        <v>0</v>
      </c>
      <c r="G22" s="671" t="s">
        <v>207</v>
      </c>
      <c r="H22" s="670"/>
      <c r="I22" s="475">
        <f>SUM(I14:I21)</f>
        <v>0</v>
      </c>
    </row>
    <row r="23" spans="4:9" ht="15" customHeight="1" thickBot="1">
      <c r="D23" s="660" t="s">
        <v>208</v>
      </c>
      <c r="E23" s="661"/>
      <c r="F23" s="476">
        <v>0</v>
      </c>
      <c r="G23" s="672" t="s">
        <v>209</v>
      </c>
      <c r="H23" s="661"/>
      <c r="I23" s="470">
        <v>0</v>
      </c>
    </row>
    <row r="24" spans="7:9" ht="15" customHeight="1">
      <c r="G24" s="660" t="s">
        <v>210</v>
      </c>
      <c r="H24" s="661"/>
      <c r="I24" s="473">
        <f>vorn_sum</f>
        <v>0</v>
      </c>
    </row>
    <row r="25" spans="7:9" ht="15" customHeight="1">
      <c r="G25" s="660" t="s">
        <v>211</v>
      </c>
      <c r="H25" s="661"/>
      <c r="I25" s="475">
        <v>0</v>
      </c>
    </row>
    <row r="27" spans="1:3" ht="15" customHeight="1">
      <c r="A27" s="673" t="s">
        <v>212</v>
      </c>
      <c r="B27" s="664"/>
      <c r="C27" s="477">
        <f>SUM('[2]Stavební rozpočet'!AJ12:AJ60)</f>
        <v>0</v>
      </c>
    </row>
    <row r="28" spans="1:9" ht="15" customHeight="1">
      <c r="A28" s="662" t="s">
        <v>1240</v>
      </c>
      <c r="B28" s="663"/>
      <c r="C28" s="478">
        <f>SUM('[2]Stavební rozpočet'!AK12:AK60)</f>
        <v>0</v>
      </c>
      <c r="D28" s="664" t="s">
        <v>1239</v>
      </c>
      <c r="E28" s="664"/>
      <c r="F28" s="477">
        <f>ROUND(C28*(15/100),2)</f>
        <v>0</v>
      </c>
      <c r="G28" s="664" t="s">
        <v>213</v>
      </c>
      <c r="H28" s="664"/>
      <c r="I28" s="477">
        <f>SUM(C27:C29)</f>
        <v>0</v>
      </c>
    </row>
    <row r="29" spans="1:9" ht="15" customHeight="1">
      <c r="A29" s="662" t="s">
        <v>214</v>
      </c>
      <c r="B29" s="663"/>
      <c r="C29" s="478">
        <f>SUM('[2]Stavební rozpočet'!AL12:AL60)+(F22+I22+F23+I23+I24+I25)</f>
        <v>0</v>
      </c>
      <c r="D29" s="663" t="s">
        <v>15</v>
      </c>
      <c r="E29" s="663"/>
      <c r="F29" s="478">
        <f>ROUND(C29*(21/100),2)</f>
        <v>0</v>
      </c>
      <c r="G29" s="663" t="s">
        <v>215</v>
      </c>
      <c r="H29" s="663"/>
      <c r="I29" s="478">
        <f>SUM(F28:F29)+I28</f>
        <v>0</v>
      </c>
    </row>
    <row r="31" spans="1:9" ht="15" customHeight="1">
      <c r="A31" s="674" t="s">
        <v>216</v>
      </c>
      <c r="B31" s="675"/>
      <c r="C31" s="676"/>
      <c r="D31" s="675" t="s">
        <v>217</v>
      </c>
      <c r="E31" s="675"/>
      <c r="F31" s="676"/>
      <c r="G31" s="675" t="s">
        <v>218</v>
      </c>
      <c r="H31" s="675"/>
      <c r="I31" s="676"/>
    </row>
    <row r="32" spans="1:9" ht="15" customHeight="1">
      <c r="A32" s="677" t="s">
        <v>180</v>
      </c>
      <c r="B32" s="667"/>
      <c r="C32" s="678"/>
      <c r="D32" s="667" t="s">
        <v>180</v>
      </c>
      <c r="E32" s="667"/>
      <c r="F32" s="678"/>
      <c r="G32" s="667" t="s">
        <v>180</v>
      </c>
      <c r="H32" s="667"/>
      <c r="I32" s="678"/>
    </row>
    <row r="33" spans="1:9" ht="15" customHeight="1">
      <c r="A33" s="677" t="s">
        <v>180</v>
      </c>
      <c r="B33" s="667"/>
      <c r="C33" s="678"/>
      <c r="D33" s="667" t="s">
        <v>180</v>
      </c>
      <c r="E33" s="667"/>
      <c r="F33" s="678"/>
      <c r="G33" s="667" t="s">
        <v>180</v>
      </c>
      <c r="H33" s="667"/>
      <c r="I33" s="678"/>
    </row>
    <row r="34" spans="1:9" ht="15" customHeight="1">
      <c r="A34" s="677" t="s">
        <v>180</v>
      </c>
      <c r="B34" s="667"/>
      <c r="C34" s="678"/>
      <c r="D34" s="667" t="s">
        <v>180</v>
      </c>
      <c r="E34" s="667"/>
      <c r="F34" s="678"/>
      <c r="G34" s="667" t="s">
        <v>180</v>
      </c>
      <c r="H34" s="667"/>
      <c r="I34" s="678"/>
    </row>
    <row r="35" spans="1:9" ht="15" customHeight="1" thickBot="1">
      <c r="A35" s="679" t="s">
        <v>219</v>
      </c>
      <c r="B35" s="680"/>
      <c r="C35" s="681"/>
      <c r="D35" s="680" t="s">
        <v>219</v>
      </c>
      <c r="E35" s="680"/>
      <c r="F35" s="681"/>
      <c r="G35" s="680" t="s">
        <v>219</v>
      </c>
      <c r="H35" s="680"/>
      <c r="I35" s="681"/>
    </row>
    <row r="36" ht="15" customHeight="1">
      <c r="A36" s="479" t="s">
        <v>220</v>
      </c>
    </row>
    <row r="37" spans="1:9" ht="12.75" customHeight="1">
      <c r="A37" s="649" t="s">
        <v>180</v>
      </c>
      <c r="B37" s="641"/>
      <c r="C37" s="641"/>
      <c r="D37" s="641"/>
      <c r="E37" s="641"/>
      <c r="F37" s="641"/>
      <c r="G37" s="641"/>
      <c r="H37" s="641"/>
      <c r="I37" s="641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AC671-C6CA-4425-91C0-373D88D0846F}">
  <sheetPr>
    <pageSetUpPr fitToPage="1"/>
  </sheetPr>
  <dimension ref="A1:BW63"/>
  <sheetViews>
    <sheetView showOutlineSymbols="0" workbookViewId="0" topLeftCell="A1">
      <pane ySplit="11" topLeftCell="A12" activePane="bottomLeft" state="frozen"/>
      <selection pane="topLeft" activeCell="A63" sqref="A63:K63"/>
      <selection pane="bottomLeft" activeCell="L32" sqref="L32"/>
    </sheetView>
  </sheetViews>
  <sheetFormatPr defaultColWidth="12.140625" defaultRowHeight="15" customHeight="1"/>
  <cols>
    <col min="1" max="1" width="12.140625" style="461" customWidth="1"/>
    <col min="2" max="2" width="20.421875" style="461" customWidth="1"/>
    <col min="3" max="3" width="12.140625" style="461" customWidth="1"/>
    <col min="4" max="4" width="68.00390625" style="461" customWidth="1"/>
    <col min="5" max="16384" width="12.140625" style="461" customWidth="1"/>
  </cols>
  <sheetData>
    <row r="1" spans="1:47" ht="54.75" customHeight="1">
      <c r="A1" s="637" t="s">
        <v>221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AS1" s="480">
        <f>SUM(AJ1:AJ2)</f>
        <v>0</v>
      </c>
      <c r="AT1" s="480">
        <f>SUM(AK1:AK2)</f>
        <v>0</v>
      </c>
      <c r="AU1" s="480">
        <f>SUM(AL1:AL2)</f>
        <v>0</v>
      </c>
    </row>
    <row r="2" spans="1:11" ht="15" customHeight="1">
      <c r="A2" s="638" t="s">
        <v>1</v>
      </c>
      <c r="B2" s="639"/>
      <c r="C2" s="642" t="s">
        <v>222</v>
      </c>
      <c r="D2" s="643"/>
      <c r="E2" s="639" t="s">
        <v>223</v>
      </c>
      <c r="F2" s="639"/>
      <c r="G2" s="639" t="s">
        <v>224</v>
      </c>
      <c r="H2" s="645" t="s">
        <v>3</v>
      </c>
      <c r="I2" s="639" t="s">
        <v>227</v>
      </c>
      <c r="J2" s="639"/>
      <c r="K2" s="646"/>
    </row>
    <row r="3" spans="1:11" ht="15" customHeight="1">
      <c r="A3" s="640"/>
      <c r="B3" s="641"/>
      <c r="C3" s="644"/>
      <c r="D3" s="644"/>
      <c r="E3" s="641"/>
      <c r="F3" s="641"/>
      <c r="G3" s="641"/>
      <c r="H3" s="641"/>
      <c r="I3" s="641"/>
      <c r="J3" s="641"/>
      <c r="K3" s="647"/>
    </row>
    <row r="4" spans="1:11" ht="15" customHeight="1">
      <c r="A4" s="648" t="s">
        <v>181</v>
      </c>
      <c r="B4" s="641"/>
      <c r="C4" s="649" t="s">
        <v>1306</v>
      </c>
      <c r="D4" s="641"/>
      <c r="E4" s="641" t="s">
        <v>185</v>
      </c>
      <c r="F4" s="641"/>
      <c r="G4" s="641" t="s">
        <v>224</v>
      </c>
      <c r="H4" s="649" t="s">
        <v>182</v>
      </c>
      <c r="I4" s="649" t="s">
        <v>225</v>
      </c>
      <c r="J4" s="641"/>
      <c r="K4" s="647"/>
    </row>
    <row r="5" spans="1:11" ht="15" customHeight="1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7"/>
    </row>
    <row r="6" spans="1:11" ht="15" customHeight="1">
      <c r="A6" s="648" t="s">
        <v>2</v>
      </c>
      <c r="B6" s="641"/>
      <c r="C6" s="649" t="s">
        <v>226</v>
      </c>
      <c r="D6" s="641"/>
      <c r="E6" s="641" t="s">
        <v>186</v>
      </c>
      <c r="F6" s="641"/>
      <c r="G6" s="641" t="s">
        <v>224</v>
      </c>
      <c r="H6" s="649" t="s">
        <v>184</v>
      </c>
      <c r="I6" s="641" t="s">
        <v>227</v>
      </c>
      <c r="J6" s="641"/>
      <c r="K6" s="647"/>
    </row>
    <row r="7" spans="1:11" ht="15" customHeight="1">
      <c r="A7" s="640"/>
      <c r="B7" s="641"/>
      <c r="C7" s="641"/>
      <c r="D7" s="641"/>
      <c r="E7" s="641"/>
      <c r="F7" s="641"/>
      <c r="G7" s="641"/>
      <c r="H7" s="641"/>
      <c r="I7" s="641"/>
      <c r="J7" s="641"/>
      <c r="K7" s="647"/>
    </row>
    <row r="8" spans="1:11" ht="15" customHeight="1">
      <c r="A8" s="648" t="s">
        <v>188</v>
      </c>
      <c r="B8" s="641"/>
      <c r="C8" s="649" t="s">
        <v>224</v>
      </c>
      <c r="D8" s="641"/>
      <c r="E8" s="641" t="s">
        <v>228</v>
      </c>
      <c r="F8" s="641"/>
      <c r="G8" s="641" t="s">
        <v>229</v>
      </c>
      <c r="H8" s="649" t="s">
        <v>189</v>
      </c>
      <c r="I8" s="649" t="s">
        <v>230</v>
      </c>
      <c r="J8" s="641"/>
      <c r="K8" s="647"/>
    </row>
    <row r="9" spans="1:11" ht="15" customHeight="1" thickBot="1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7"/>
    </row>
    <row r="10" spans="1:75" ht="15" customHeight="1">
      <c r="A10" s="481" t="s">
        <v>231</v>
      </c>
      <c r="B10" s="482" t="s">
        <v>23</v>
      </c>
      <c r="C10" s="682" t="s">
        <v>232</v>
      </c>
      <c r="D10" s="683"/>
      <c r="E10" s="482" t="s">
        <v>25</v>
      </c>
      <c r="F10" s="483" t="s">
        <v>233</v>
      </c>
      <c r="G10" s="484" t="s">
        <v>234</v>
      </c>
      <c r="H10" s="684" t="s">
        <v>235</v>
      </c>
      <c r="I10" s="685"/>
      <c r="J10" s="686"/>
      <c r="K10" s="483" t="s">
        <v>236</v>
      </c>
      <c r="BK10" s="485" t="s">
        <v>237</v>
      </c>
      <c r="BL10" s="486" t="s">
        <v>238</v>
      </c>
      <c r="BW10" s="486" t="s">
        <v>239</v>
      </c>
    </row>
    <row r="11" spans="1:62" ht="15" customHeight="1" thickBot="1">
      <c r="A11" s="487" t="s">
        <v>224</v>
      </c>
      <c r="B11" s="488" t="s">
        <v>224</v>
      </c>
      <c r="C11" s="687" t="s">
        <v>240</v>
      </c>
      <c r="D11" s="688"/>
      <c r="E11" s="488" t="s">
        <v>224</v>
      </c>
      <c r="F11" s="488" t="s">
        <v>224</v>
      </c>
      <c r="G11" s="489" t="s">
        <v>241</v>
      </c>
      <c r="H11" s="490" t="s">
        <v>242</v>
      </c>
      <c r="I11" s="491" t="s">
        <v>200</v>
      </c>
      <c r="J11" s="492" t="s">
        <v>243</v>
      </c>
      <c r="K11" s="491" t="s">
        <v>244</v>
      </c>
      <c r="Z11" s="485" t="s">
        <v>245</v>
      </c>
      <c r="AA11" s="485" t="s">
        <v>246</v>
      </c>
      <c r="AB11" s="485" t="s">
        <v>247</v>
      </c>
      <c r="AC11" s="485" t="s">
        <v>248</v>
      </c>
      <c r="AD11" s="485" t="s">
        <v>249</v>
      </c>
      <c r="AE11" s="485" t="s">
        <v>250</v>
      </c>
      <c r="AF11" s="485" t="s">
        <v>251</v>
      </c>
      <c r="AG11" s="485" t="s">
        <v>252</v>
      </c>
      <c r="AH11" s="485" t="s">
        <v>253</v>
      </c>
      <c r="BH11" s="485" t="s">
        <v>254</v>
      </c>
      <c r="BI11" s="485" t="s">
        <v>255</v>
      </c>
      <c r="BJ11" s="485" t="s">
        <v>256</v>
      </c>
    </row>
    <row r="12" spans="1:11" ht="15" customHeight="1">
      <c r="A12" s="493" t="s">
        <v>180</v>
      </c>
      <c r="B12" s="494" t="s">
        <v>180</v>
      </c>
      <c r="C12" s="689" t="s">
        <v>1307</v>
      </c>
      <c r="D12" s="690"/>
      <c r="E12" s="495" t="s">
        <v>224</v>
      </c>
      <c r="F12" s="495" t="s">
        <v>224</v>
      </c>
      <c r="G12" s="495" t="s">
        <v>224</v>
      </c>
      <c r="H12" s="496">
        <f>H13+H21</f>
        <v>0</v>
      </c>
      <c r="I12" s="496">
        <f>I13+I21</f>
        <v>0</v>
      </c>
      <c r="J12" s="496">
        <f>J13+J21</f>
        <v>0</v>
      </c>
      <c r="K12" s="497" t="s">
        <v>180</v>
      </c>
    </row>
    <row r="13" spans="1:47" ht="15" customHeight="1">
      <c r="A13" s="498" t="s">
        <v>180</v>
      </c>
      <c r="B13" s="499" t="s">
        <v>1308</v>
      </c>
      <c r="C13" s="691" t="s">
        <v>1309</v>
      </c>
      <c r="D13" s="692"/>
      <c r="E13" s="500" t="s">
        <v>224</v>
      </c>
      <c r="F13" s="500" t="s">
        <v>224</v>
      </c>
      <c r="G13" s="500" t="s">
        <v>224</v>
      </c>
      <c r="H13" s="480">
        <f>SUM(H14:H19)</f>
        <v>0</v>
      </c>
      <c r="I13" s="480">
        <f>SUM(I14:I19)</f>
        <v>0</v>
      </c>
      <c r="J13" s="480">
        <f>SUM(J14:J19)</f>
        <v>0</v>
      </c>
      <c r="K13" s="501" t="s">
        <v>180</v>
      </c>
      <c r="AI13" s="485" t="s">
        <v>259</v>
      </c>
      <c r="AS13" s="480">
        <f>SUM(AJ14:AJ19)</f>
        <v>0</v>
      </c>
      <c r="AT13" s="480">
        <f>SUM(AK14:AK19)</f>
        <v>0</v>
      </c>
      <c r="AU13" s="480">
        <f>SUM(AL14:AL19)</f>
        <v>0</v>
      </c>
    </row>
    <row r="14" spans="1:75" ht="13.5" customHeight="1">
      <c r="A14" s="462" t="s">
        <v>260</v>
      </c>
      <c r="B14" s="463" t="s">
        <v>1310</v>
      </c>
      <c r="C14" s="649" t="s">
        <v>1311</v>
      </c>
      <c r="D14" s="641"/>
      <c r="E14" s="463" t="s">
        <v>297</v>
      </c>
      <c r="F14" s="502">
        <v>0.2</v>
      </c>
      <c r="G14" s="502">
        <v>0</v>
      </c>
      <c r="H14" s="502">
        <f>F14*AO14</f>
        <v>0</v>
      </c>
      <c r="I14" s="502">
        <f>F14*AP14</f>
        <v>0</v>
      </c>
      <c r="J14" s="502">
        <f>F14*G14</f>
        <v>0</v>
      </c>
      <c r="K14" s="503" t="s">
        <v>262</v>
      </c>
      <c r="Z14" s="502">
        <f>IF(AQ14="5",BJ14,0)</f>
        <v>0</v>
      </c>
      <c r="AB14" s="502">
        <f>IF(AQ14="1",BH14,0)</f>
        <v>0</v>
      </c>
      <c r="AC14" s="502">
        <f>IF(AQ14="1",BI14,0)</f>
        <v>0</v>
      </c>
      <c r="AD14" s="502">
        <f>IF(AQ14="7",BH14,0)</f>
        <v>0</v>
      </c>
      <c r="AE14" s="502">
        <f>IF(AQ14="7",BI14,0)</f>
        <v>0</v>
      </c>
      <c r="AF14" s="502">
        <f>IF(AQ14="2",BH14,0)</f>
        <v>0</v>
      </c>
      <c r="AG14" s="502">
        <f>IF(AQ14="2",BI14,0)</f>
        <v>0</v>
      </c>
      <c r="AH14" s="502">
        <f>IF(AQ14="0",BJ14,0)</f>
        <v>0</v>
      </c>
      <c r="AI14" s="485" t="s">
        <v>259</v>
      </c>
      <c r="AJ14" s="502">
        <f>IF(AN14=0,J14,0)</f>
        <v>0</v>
      </c>
      <c r="AK14" s="502">
        <f>IF(AN14=15,J14,0)</f>
        <v>0</v>
      </c>
      <c r="AL14" s="502">
        <f>IF(AN14=21,J14,0)</f>
        <v>0</v>
      </c>
      <c r="AN14" s="502">
        <v>21</v>
      </c>
      <c r="AO14" s="502">
        <f>G14*0</f>
        <v>0</v>
      </c>
      <c r="AP14" s="502">
        <f>G14*(1-0)</f>
        <v>0</v>
      </c>
      <c r="AQ14" s="504" t="s">
        <v>260</v>
      </c>
      <c r="AV14" s="502">
        <f>AW14+AX14</f>
        <v>0</v>
      </c>
      <c r="AW14" s="502">
        <f>F14*AO14</f>
        <v>0</v>
      </c>
      <c r="AX14" s="502">
        <f>F14*AP14</f>
        <v>0</v>
      </c>
      <c r="AY14" s="504" t="s">
        <v>1312</v>
      </c>
      <c r="AZ14" s="504" t="s">
        <v>293</v>
      </c>
      <c r="BA14" s="485" t="s">
        <v>265</v>
      </c>
      <c r="BC14" s="502">
        <f>AW14+AX14</f>
        <v>0</v>
      </c>
      <c r="BD14" s="502">
        <f>G14/(100-BE14)*100</f>
        <v>0</v>
      </c>
      <c r="BE14" s="502">
        <v>0</v>
      </c>
      <c r="BF14" s="502">
        <f>14</f>
        <v>14</v>
      </c>
      <c r="BH14" s="502">
        <f>F14*AO14</f>
        <v>0</v>
      </c>
      <c r="BI14" s="502">
        <f>F14*AP14</f>
        <v>0</v>
      </c>
      <c r="BJ14" s="502">
        <f>F14*G14</f>
        <v>0</v>
      </c>
      <c r="BK14" s="502"/>
      <c r="BL14" s="502">
        <v>96</v>
      </c>
      <c r="BW14" s="502">
        <v>21</v>
      </c>
    </row>
    <row r="15" spans="1:75" ht="13.5" customHeight="1">
      <c r="A15" s="462" t="s">
        <v>266</v>
      </c>
      <c r="B15" s="463" t="s">
        <v>1313</v>
      </c>
      <c r="C15" s="649" t="s">
        <v>1314</v>
      </c>
      <c r="D15" s="641"/>
      <c r="E15" s="463" t="s">
        <v>267</v>
      </c>
      <c r="F15" s="502">
        <v>5</v>
      </c>
      <c r="G15" s="502">
        <v>0</v>
      </c>
      <c r="H15" s="502">
        <f>F15*AO15</f>
        <v>0</v>
      </c>
      <c r="I15" s="502">
        <f>F15*AP15</f>
        <v>0</v>
      </c>
      <c r="J15" s="502">
        <f>F15*G15</f>
        <v>0</v>
      </c>
      <c r="K15" s="503" t="s">
        <v>318</v>
      </c>
      <c r="Z15" s="502">
        <f>IF(AQ15="5",BJ15,0)</f>
        <v>0</v>
      </c>
      <c r="AB15" s="502">
        <f>IF(AQ15="1",BH15,0)</f>
        <v>0</v>
      </c>
      <c r="AC15" s="502">
        <f>IF(AQ15="1",BI15,0)</f>
        <v>0</v>
      </c>
      <c r="AD15" s="502">
        <f>IF(AQ15="7",BH15,0)</f>
        <v>0</v>
      </c>
      <c r="AE15" s="502">
        <f>IF(AQ15="7",BI15,0)</f>
        <v>0</v>
      </c>
      <c r="AF15" s="502">
        <f>IF(AQ15="2",BH15,0)</f>
        <v>0</v>
      </c>
      <c r="AG15" s="502">
        <f>IF(AQ15="2",BI15,0)</f>
        <v>0</v>
      </c>
      <c r="AH15" s="502">
        <f>IF(AQ15="0",BJ15,0)</f>
        <v>0</v>
      </c>
      <c r="AI15" s="485" t="s">
        <v>259</v>
      </c>
      <c r="AJ15" s="502">
        <f>IF(AN15=0,J15,0)</f>
        <v>0</v>
      </c>
      <c r="AK15" s="502">
        <f>IF(AN15=15,J15,0)</f>
        <v>0</v>
      </c>
      <c r="AL15" s="502">
        <f>IF(AN15=21,J15,0)</f>
        <v>0</v>
      </c>
      <c r="AN15" s="502">
        <v>21</v>
      </c>
      <c r="AO15" s="502">
        <f>G15*0.067736131934033</f>
        <v>0</v>
      </c>
      <c r="AP15" s="502">
        <f>G15*(1-0.067736131934033)</f>
        <v>0</v>
      </c>
      <c r="AQ15" s="504" t="s">
        <v>260</v>
      </c>
      <c r="AV15" s="502">
        <f>AW15+AX15</f>
        <v>0</v>
      </c>
      <c r="AW15" s="502">
        <f>F15*AO15</f>
        <v>0</v>
      </c>
      <c r="AX15" s="502">
        <f>F15*AP15</f>
        <v>0</v>
      </c>
      <c r="AY15" s="504" t="s">
        <v>1312</v>
      </c>
      <c r="AZ15" s="504" t="s">
        <v>293</v>
      </c>
      <c r="BA15" s="485" t="s">
        <v>265</v>
      </c>
      <c r="BC15" s="502">
        <f>AW15+AX15</f>
        <v>0</v>
      </c>
      <c r="BD15" s="502">
        <f>G15/(100-BE15)*100</f>
        <v>0</v>
      </c>
      <c r="BE15" s="502">
        <v>0</v>
      </c>
      <c r="BF15" s="502">
        <f>15</f>
        <v>15</v>
      </c>
      <c r="BH15" s="502">
        <f>F15*AO15</f>
        <v>0</v>
      </c>
      <c r="BI15" s="502">
        <f>F15*AP15</f>
        <v>0</v>
      </c>
      <c r="BJ15" s="502">
        <f>F15*G15</f>
        <v>0</v>
      </c>
      <c r="BK15" s="502"/>
      <c r="BL15" s="502">
        <v>96</v>
      </c>
      <c r="BW15" s="502">
        <v>21</v>
      </c>
    </row>
    <row r="16" spans="1:11" ht="13.5" customHeight="1">
      <c r="A16" s="505"/>
      <c r="B16" s="506" t="s">
        <v>220</v>
      </c>
      <c r="C16" s="693" t="s">
        <v>1315</v>
      </c>
      <c r="D16" s="694"/>
      <c r="E16" s="694"/>
      <c r="F16" s="694"/>
      <c r="G16" s="694"/>
      <c r="H16" s="694"/>
      <c r="I16" s="694"/>
      <c r="J16" s="694"/>
      <c r="K16" s="695"/>
    </row>
    <row r="17" spans="1:75" ht="13.5" customHeight="1">
      <c r="A17" s="462" t="s">
        <v>268</v>
      </c>
      <c r="B17" s="463" t="s">
        <v>1316</v>
      </c>
      <c r="C17" s="649" t="s">
        <v>1317</v>
      </c>
      <c r="D17" s="641"/>
      <c r="E17" s="463" t="s">
        <v>267</v>
      </c>
      <c r="F17" s="502">
        <v>2</v>
      </c>
      <c r="G17" s="502">
        <v>0</v>
      </c>
      <c r="H17" s="502">
        <f>F17*AO17</f>
        <v>0</v>
      </c>
      <c r="I17" s="502">
        <f>F17*AP17</f>
        <v>0</v>
      </c>
      <c r="J17" s="502">
        <f>F17*G17</f>
        <v>0</v>
      </c>
      <c r="K17" s="503" t="s">
        <v>318</v>
      </c>
      <c r="Z17" s="502">
        <f>IF(AQ17="5",BJ17,0)</f>
        <v>0</v>
      </c>
      <c r="AB17" s="502">
        <f>IF(AQ17="1",BH17,0)</f>
        <v>0</v>
      </c>
      <c r="AC17" s="502">
        <f>IF(AQ17="1",BI17,0)</f>
        <v>0</v>
      </c>
      <c r="AD17" s="502">
        <f>IF(AQ17="7",BH17,0)</f>
        <v>0</v>
      </c>
      <c r="AE17" s="502">
        <f>IF(AQ17="7",BI17,0)</f>
        <v>0</v>
      </c>
      <c r="AF17" s="502">
        <f>IF(AQ17="2",BH17,0)</f>
        <v>0</v>
      </c>
      <c r="AG17" s="502">
        <f>IF(AQ17="2",BI17,0)</f>
        <v>0</v>
      </c>
      <c r="AH17" s="502">
        <f>IF(AQ17="0",BJ17,0)</f>
        <v>0</v>
      </c>
      <c r="AI17" s="485" t="s">
        <v>259</v>
      </c>
      <c r="AJ17" s="502">
        <f>IF(AN17=0,J17,0)</f>
        <v>0</v>
      </c>
      <c r="AK17" s="502">
        <f>IF(AN17=15,J17,0)</f>
        <v>0</v>
      </c>
      <c r="AL17" s="502">
        <f>IF(AN17=21,J17,0)</f>
        <v>0</v>
      </c>
      <c r="AN17" s="502">
        <v>21</v>
      </c>
      <c r="AO17" s="502">
        <f>G17*0.195511265164645</f>
        <v>0</v>
      </c>
      <c r="AP17" s="502">
        <f>G17*(1-0.195511265164645)</f>
        <v>0</v>
      </c>
      <c r="AQ17" s="504" t="s">
        <v>260</v>
      </c>
      <c r="AV17" s="502">
        <f>AW17+AX17</f>
        <v>0</v>
      </c>
      <c r="AW17" s="502">
        <f>F17*AO17</f>
        <v>0</v>
      </c>
      <c r="AX17" s="502">
        <f>F17*AP17</f>
        <v>0</v>
      </c>
      <c r="AY17" s="504" t="s">
        <v>1312</v>
      </c>
      <c r="AZ17" s="504" t="s">
        <v>293</v>
      </c>
      <c r="BA17" s="485" t="s">
        <v>265</v>
      </c>
      <c r="BC17" s="502">
        <f>AW17+AX17</f>
        <v>0</v>
      </c>
      <c r="BD17" s="502">
        <f>G17/(100-BE17)*100</f>
        <v>0</v>
      </c>
      <c r="BE17" s="502">
        <v>0</v>
      </c>
      <c r="BF17" s="502">
        <f>17</f>
        <v>17</v>
      </c>
      <c r="BH17" s="502">
        <f>F17*AO17</f>
        <v>0</v>
      </c>
      <c r="BI17" s="502">
        <f>F17*AP17</f>
        <v>0</v>
      </c>
      <c r="BJ17" s="502">
        <f>F17*G17</f>
        <v>0</v>
      </c>
      <c r="BK17" s="502"/>
      <c r="BL17" s="502">
        <v>96</v>
      </c>
      <c r="BW17" s="502">
        <v>21</v>
      </c>
    </row>
    <row r="18" spans="1:11" ht="13.5" customHeight="1">
      <c r="A18" s="505"/>
      <c r="B18" s="506" t="s">
        <v>220</v>
      </c>
      <c r="C18" s="693" t="s">
        <v>1318</v>
      </c>
      <c r="D18" s="694"/>
      <c r="E18" s="694"/>
      <c r="F18" s="694"/>
      <c r="G18" s="694"/>
      <c r="H18" s="694"/>
      <c r="I18" s="694"/>
      <c r="J18" s="694"/>
      <c r="K18" s="695"/>
    </row>
    <row r="19" spans="1:75" ht="13.5" customHeight="1">
      <c r="A19" s="462" t="s">
        <v>269</v>
      </c>
      <c r="B19" s="463" t="s">
        <v>1319</v>
      </c>
      <c r="C19" s="649" t="s">
        <v>1320</v>
      </c>
      <c r="D19" s="641"/>
      <c r="E19" s="463" t="s">
        <v>267</v>
      </c>
      <c r="F19" s="502">
        <v>2</v>
      </c>
      <c r="G19" s="502">
        <v>0</v>
      </c>
      <c r="H19" s="502">
        <f>F19*AO19</f>
        <v>0</v>
      </c>
      <c r="I19" s="502">
        <f>F19*AP19</f>
        <v>0</v>
      </c>
      <c r="J19" s="502">
        <f>F19*G19</f>
        <v>0</v>
      </c>
      <c r="K19" s="503" t="s">
        <v>318</v>
      </c>
      <c r="Z19" s="502">
        <f>IF(AQ19="5",BJ19,0)</f>
        <v>0</v>
      </c>
      <c r="AB19" s="502">
        <f>IF(AQ19="1",BH19,0)</f>
        <v>0</v>
      </c>
      <c r="AC19" s="502">
        <f>IF(AQ19="1",BI19,0)</f>
        <v>0</v>
      </c>
      <c r="AD19" s="502">
        <f>IF(AQ19="7",BH19,0)</f>
        <v>0</v>
      </c>
      <c r="AE19" s="502">
        <f>IF(AQ19="7",BI19,0)</f>
        <v>0</v>
      </c>
      <c r="AF19" s="502">
        <f>IF(AQ19="2",BH19,0)</f>
        <v>0</v>
      </c>
      <c r="AG19" s="502">
        <f>IF(AQ19="2",BI19,0)</f>
        <v>0</v>
      </c>
      <c r="AH19" s="502">
        <f>IF(AQ19="0",BJ19,0)</f>
        <v>0</v>
      </c>
      <c r="AI19" s="485" t="s">
        <v>259</v>
      </c>
      <c r="AJ19" s="502">
        <f>IF(AN19=0,J19,0)</f>
        <v>0</v>
      </c>
      <c r="AK19" s="502">
        <f>IF(AN19=15,J19,0)</f>
        <v>0</v>
      </c>
      <c r="AL19" s="502">
        <f>IF(AN19=21,J19,0)</f>
        <v>0</v>
      </c>
      <c r="AN19" s="502">
        <v>21</v>
      </c>
      <c r="AO19" s="502">
        <f>G19*0.162100574712644</f>
        <v>0</v>
      </c>
      <c r="AP19" s="502">
        <f>G19*(1-0.162100574712644)</f>
        <v>0</v>
      </c>
      <c r="AQ19" s="504" t="s">
        <v>260</v>
      </c>
      <c r="AV19" s="502">
        <f>AW19+AX19</f>
        <v>0</v>
      </c>
      <c r="AW19" s="502">
        <f>F19*AO19</f>
        <v>0</v>
      </c>
      <c r="AX19" s="502">
        <f>F19*AP19</f>
        <v>0</v>
      </c>
      <c r="AY19" s="504" t="s">
        <v>1312</v>
      </c>
      <c r="AZ19" s="504" t="s">
        <v>293</v>
      </c>
      <c r="BA19" s="485" t="s">
        <v>265</v>
      </c>
      <c r="BC19" s="502">
        <f>AW19+AX19</f>
        <v>0</v>
      </c>
      <c r="BD19" s="502">
        <f>G19/(100-BE19)*100</f>
        <v>0</v>
      </c>
      <c r="BE19" s="502">
        <v>0</v>
      </c>
      <c r="BF19" s="502">
        <f>19</f>
        <v>19</v>
      </c>
      <c r="BH19" s="502">
        <f>F19*AO19</f>
        <v>0</v>
      </c>
      <c r="BI19" s="502">
        <f>F19*AP19</f>
        <v>0</v>
      </c>
      <c r="BJ19" s="502">
        <f>F19*G19</f>
        <v>0</v>
      </c>
      <c r="BK19" s="502"/>
      <c r="BL19" s="502">
        <v>96</v>
      </c>
      <c r="BW19" s="502">
        <v>21</v>
      </c>
    </row>
    <row r="20" spans="1:11" ht="13.5" customHeight="1">
      <c r="A20" s="505"/>
      <c r="B20" s="506" t="s">
        <v>220</v>
      </c>
      <c r="C20" s="693" t="s">
        <v>1321</v>
      </c>
      <c r="D20" s="694"/>
      <c r="E20" s="694"/>
      <c r="F20" s="694"/>
      <c r="G20" s="694"/>
      <c r="H20" s="694"/>
      <c r="I20" s="694"/>
      <c r="J20" s="694"/>
      <c r="K20" s="695"/>
    </row>
    <row r="21" spans="1:47" ht="15" customHeight="1">
      <c r="A21" s="498" t="s">
        <v>180</v>
      </c>
      <c r="B21" s="499" t="s">
        <v>294</v>
      </c>
      <c r="C21" s="691" t="s">
        <v>295</v>
      </c>
      <c r="D21" s="692"/>
      <c r="E21" s="500" t="s">
        <v>224</v>
      </c>
      <c r="F21" s="500" t="s">
        <v>224</v>
      </c>
      <c r="G21" s="500" t="s">
        <v>224</v>
      </c>
      <c r="H21" s="480">
        <f>SUM(H22:H23)</f>
        <v>0</v>
      </c>
      <c r="I21" s="480">
        <f>SUM(I22:I23)</f>
        <v>0</v>
      </c>
      <c r="J21" s="480">
        <f>SUM(J22:J23)</f>
        <v>0</v>
      </c>
      <c r="K21" s="501" t="s">
        <v>180</v>
      </c>
      <c r="AI21" s="485" t="s">
        <v>259</v>
      </c>
      <c r="AS21" s="480">
        <f>SUM(AJ22:AJ23)</f>
        <v>0</v>
      </c>
      <c r="AT21" s="480">
        <f>SUM(AK22:AK23)</f>
        <v>0</v>
      </c>
      <c r="AU21" s="480">
        <f>SUM(AL22:AL23)</f>
        <v>0</v>
      </c>
    </row>
    <row r="22" spans="1:75" ht="13.5" customHeight="1">
      <c r="A22" s="462" t="s">
        <v>270</v>
      </c>
      <c r="B22" s="463" t="s">
        <v>409</v>
      </c>
      <c r="C22" s="649" t="s">
        <v>1322</v>
      </c>
      <c r="D22" s="641"/>
      <c r="E22" s="463" t="s">
        <v>43</v>
      </c>
      <c r="F22" s="502">
        <v>7</v>
      </c>
      <c r="G22" s="502">
        <v>0</v>
      </c>
      <c r="H22" s="502">
        <f>F22*AO22</f>
        <v>0</v>
      </c>
      <c r="I22" s="502">
        <f>F22*AP22</f>
        <v>0</v>
      </c>
      <c r="J22" s="502">
        <f>F22*G22</f>
        <v>0</v>
      </c>
      <c r="K22" s="503" t="s">
        <v>262</v>
      </c>
      <c r="Z22" s="502">
        <f>IF(AQ22="5",BJ22,0)</f>
        <v>0</v>
      </c>
      <c r="AB22" s="502">
        <f>IF(AQ22="1",BH22,0)</f>
        <v>0</v>
      </c>
      <c r="AC22" s="502">
        <f>IF(AQ22="1",BI22,0)</f>
        <v>0</v>
      </c>
      <c r="AD22" s="502">
        <f>IF(AQ22="7",BH22,0)</f>
        <v>0</v>
      </c>
      <c r="AE22" s="502">
        <f>IF(AQ22="7",BI22,0)</f>
        <v>0</v>
      </c>
      <c r="AF22" s="502">
        <f>IF(AQ22="2",BH22,0)</f>
        <v>0</v>
      </c>
      <c r="AG22" s="502">
        <f>IF(AQ22="2",BI22,0)</f>
        <v>0</v>
      </c>
      <c r="AH22" s="502">
        <f>IF(AQ22="0",BJ22,0)</f>
        <v>0</v>
      </c>
      <c r="AI22" s="485" t="s">
        <v>259</v>
      </c>
      <c r="AJ22" s="502">
        <f>IF(AN22=0,J22,0)</f>
        <v>0</v>
      </c>
      <c r="AK22" s="502">
        <f>IF(AN22=15,J22,0)</f>
        <v>0</v>
      </c>
      <c r="AL22" s="502">
        <f>IF(AN22=21,J22,0)</f>
        <v>0</v>
      </c>
      <c r="AN22" s="502">
        <v>21</v>
      </c>
      <c r="AO22" s="502">
        <f>G22*0.0104305555555556</f>
        <v>0</v>
      </c>
      <c r="AP22" s="502">
        <f>G22*(1-0.0104305555555556)</f>
        <v>0</v>
      </c>
      <c r="AQ22" s="504" t="s">
        <v>270</v>
      </c>
      <c r="AV22" s="502">
        <f>AW22+AX22</f>
        <v>0</v>
      </c>
      <c r="AW22" s="502">
        <f>F22*AO22</f>
        <v>0</v>
      </c>
      <c r="AX22" s="502">
        <f>F22*AP22</f>
        <v>0</v>
      </c>
      <c r="AY22" s="504" t="s">
        <v>298</v>
      </c>
      <c r="AZ22" s="504" t="s">
        <v>293</v>
      </c>
      <c r="BA22" s="485" t="s">
        <v>265</v>
      </c>
      <c r="BC22" s="502">
        <f>AW22+AX22</f>
        <v>0</v>
      </c>
      <c r="BD22" s="502">
        <f>G22/(100-BE22)*100</f>
        <v>0</v>
      </c>
      <c r="BE22" s="502">
        <v>0</v>
      </c>
      <c r="BF22" s="502">
        <f>22</f>
        <v>22</v>
      </c>
      <c r="BH22" s="502">
        <f>F22*AO22</f>
        <v>0</v>
      </c>
      <c r="BI22" s="502">
        <f>F22*AP22</f>
        <v>0</v>
      </c>
      <c r="BJ22" s="502">
        <f>F22*G22</f>
        <v>0</v>
      </c>
      <c r="BK22" s="502"/>
      <c r="BL22" s="502"/>
      <c r="BW22" s="502">
        <v>21</v>
      </c>
    </row>
    <row r="23" spans="1:75" ht="13.5" customHeight="1">
      <c r="A23" s="462" t="s">
        <v>271</v>
      </c>
      <c r="B23" s="463" t="s">
        <v>411</v>
      </c>
      <c r="C23" s="649" t="s">
        <v>412</v>
      </c>
      <c r="D23" s="641"/>
      <c r="E23" s="463" t="s">
        <v>43</v>
      </c>
      <c r="F23" s="502">
        <v>7</v>
      </c>
      <c r="G23" s="502">
        <v>0</v>
      </c>
      <c r="H23" s="502">
        <f>F23*AO23</f>
        <v>0</v>
      </c>
      <c r="I23" s="502">
        <f>F23*AP23</f>
        <v>0</v>
      </c>
      <c r="J23" s="502">
        <f>F23*G23</f>
        <v>0</v>
      </c>
      <c r="K23" s="503" t="s">
        <v>262</v>
      </c>
      <c r="Z23" s="502">
        <f>IF(AQ23="5",BJ23,0)</f>
        <v>0</v>
      </c>
      <c r="AB23" s="502">
        <f>IF(AQ23="1",BH23,0)</f>
        <v>0</v>
      </c>
      <c r="AC23" s="502">
        <f>IF(AQ23="1",BI23,0)</f>
        <v>0</v>
      </c>
      <c r="AD23" s="502">
        <f>IF(AQ23="7",BH23,0)</f>
        <v>0</v>
      </c>
      <c r="AE23" s="502">
        <f>IF(AQ23="7",BI23,0)</f>
        <v>0</v>
      </c>
      <c r="AF23" s="502">
        <f>IF(AQ23="2",BH23,0)</f>
        <v>0</v>
      </c>
      <c r="AG23" s="502">
        <f>IF(AQ23="2",BI23,0)</f>
        <v>0</v>
      </c>
      <c r="AH23" s="502">
        <f>IF(AQ23="0",BJ23,0)</f>
        <v>0</v>
      </c>
      <c r="AI23" s="485" t="s">
        <v>259</v>
      </c>
      <c r="AJ23" s="502">
        <f>IF(AN23=0,J23,0)</f>
        <v>0</v>
      </c>
      <c r="AK23" s="502">
        <f>IF(AN23=15,J23,0)</f>
        <v>0</v>
      </c>
      <c r="AL23" s="502">
        <f>IF(AN23=21,J23,0)</f>
        <v>0</v>
      </c>
      <c r="AN23" s="502">
        <v>21</v>
      </c>
      <c r="AO23" s="502">
        <f>G23*0</f>
        <v>0</v>
      </c>
      <c r="AP23" s="502">
        <f>G23*(1-0)</f>
        <v>0</v>
      </c>
      <c r="AQ23" s="504" t="s">
        <v>270</v>
      </c>
      <c r="AV23" s="502">
        <f>AW23+AX23</f>
        <v>0</v>
      </c>
      <c r="AW23" s="502">
        <f>F23*AO23</f>
        <v>0</v>
      </c>
      <c r="AX23" s="502">
        <f>F23*AP23</f>
        <v>0</v>
      </c>
      <c r="AY23" s="504" t="s">
        <v>298</v>
      </c>
      <c r="AZ23" s="504" t="s">
        <v>293</v>
      </c>
      <c r="BA23" s="485" t="s">
        <v>265</v>
      </c>
      <c r="BC23" s="502">
        <f>AW23+AX23</f>
        <v>0</v>
      </c>
      <c r="BD23" s="502">
        <f>G23/(100-BE23)*100</f>
        <v>0</v>
      </c>
      <c r="BE23" s="502">
        <v>0</v>
      </c>
      <c r="BF23" s="502">
        <f>23</f>
        <v>23</v>
      </c>
      <c r="BH23" s="502">
        <f>F23*AO23</f>
        <v>0</v>
      </c>
      <c r="BI23" s="502">
        <f>F23*AP23</f>
        <v>0</v>
      </c>
      <c r="BJ23" s="502">
        <f>F23*G23</f>
        <v>0</v>
      </c>
      <c r="BK23" s="502"/>
      <c r="BL23" s="502"/>
      <c r="BW23" s="502">
        <v>21</v>
      </c>
    </row>
    <row r="24" spans="1:11" ht="15" customHeight="1">
      <c r="A24" s="493" t="s">
        <v>180</v>
      </c>
      <c r="B24" s="494" t="s">
        <v>180</v>
      </c>
      <c r="C24" s="689" t="s">
        <v>1323</v>
      </c>
      <c r="D24" s="690"/>
      <c r="E24" s="495" t="s">
        <v>224</v>
      </c>
      <c r="F24" s="495" t="s">
        <v>224</v>
      </c>
      <c r="G24" s="495" t="s">
        <v>224</v>
      </c>
      <c r="H24" s="496">
        <f>H25+H28+H30</f>
        <v>0</v>
      </c>
      <c r="I24" s="496">
        <f>I25+I28+I30</f>
        <v>0</v>
      </c>
      <c r="J24" s="496">
        <f>J25+J28+J30</f>
        <v>0</v>
      </c>
      <c r="K24" s="497" t="s">
        <v>180</v>
      </c>
    </row>
    <row r="25" spans="1:47" ht="15" customHeight="1">
      <c r="A25" s="498" t="s">
        <v>180</v>
      </c>
      <c r="B25" s="499" t="s">
        <v>1308</v>
      </c>
      <c r="C25" s="691" t="s">
        <v>1309</v>
      </c>
      <c r="D25" s="692"/>
      <c r="E25" s="500" t="s">
        <v>224</v>
      </c>
      <c r="F25" s="500" t="s">
        <v>224</v>
      </c>
      <c r="G25" s="500" t="s">
        <v>224</v>
      </c>
      <c r="H25" s="480">
        <f>SUM(H26:H27)</f>
        <v>0</v>
      </c>
      <c r="I25" s="480">
        <f>SUM(I26:I27)</f>
        <v>0</v>
      </c>
      <c r="J25" s="480">
        <f>SUM(J26:J27)</f>
        <v>0</v>
      </c>
      <c r="K25" s="501" t="s">
        <v>180</v>
      </c>
      <c r="AI25" s="485" t="s">
        <v>303</v>
      </c>
      <c r="AS25" s="480">
        <f>SUM(AJ26:AJ27)</f>
        <v>0</v>
      </c>
      <c r="AT25" s="480">
        <f>SUM(AK26:AK27)</f>
        <v>0</v>
      </c>
      <c r="AU25" s="480">
        <f>SUM(AL26:AL27)</f>
        <v>0</v>
      </c>
    </row>
    <row r="26" spans="1:75" ht="13.5" customHeight="1">
      <c r="A26" s="462" t="s">
        <v>272</v>
      </c>
      <c r="B26" s="463" t="s">
        <v>1310</v>
      </c>
      <c r="C26" s="649" t="s">
        <v>1324</v>
      </c>
      <c r="D26" s="641"/>
      <c r="E26" s="463" t="s">
        <v>297</v>
      </c>
      <c r="F26" s="502">
        <v>0.9</v>
      </c>
      <c r="G26" s="502">
        <v>0</v>
      </c>
      <c r="H26" s="502">
        <f>F26*AO26</f>
        <v>0</v>
      </c>
      <c r="I26" s="502">
        <f>F26*AP26</f>
        <v>0</v>
      </c>
      <c r="J26" s="502">
        <f>F26*G26</f>
        <v>0</v>
      </c>
      <c r="K26" s="503" t="s">
        <v>262</v>
      </c>
      <c r="Z26" s="502">
        <f>IF(AQ26="5",BJ26,0)</f>
        <v>0</v>
      </c>
      <c r="AB26" s="502">
        <f>IF(AQ26="1",BH26,0)</f>
        <v>0</v>
      </c>
      <c r="AC26" s="502">
        <f>IF(AQ26="1",BI26,0)</f>
        <v>0</v>
      </c>
      <c r="AD26" s="502">
        <f>IF(AQ26="7",BH26,0)</f>
        <v>0</v>
      </c>
      <c r="AE26" s="502">
        <f>IF(AQ26="7",BI26,0)</f>
        <v>0</v>
      </c>
      <c r="AF26" s="502">
        <f>IF(AQ26="2",BH26,0)</f>
        <v>0</v>
      </c>
      <c r="AG26" s="502">
        <f>IF(AQ26="2",BI26,0)</f>
        <v>0</v>
      </c>
      <c r="AH26" s="502">
        <f>IF(AQ26="0",BJ26,0)</f>
        <v>0</v>
      </c>
      <c r="AI26" s="485" t="s">
        <v>303</v>
      </c>
      <c r="AJ26" s="502">
        <f>IF(AN26=0,J26,0)</f>
        <v>0</v>
      </c>
      <c r="AK26" s="502">
        <f>IF(AN26=15,J26,0)</f>
        <v>0</v>
      </c>
      <c r="AL26" s="502">
        <f>IF(AN26=21,J26,0)</f>
        <v>0</v>
      </c>
      <c r="AN26" s="502">
        <v>21</v>
      </c>
      <c r="AO26" s="502">
        <f>G26*0</f>
        <v>0</v>
      </c>
      <c r="AP26" s="502">
        <f>G26*(1-0)</f>
        <v>0</v>
      </c>
      <c r="AQ26" s="504" t="s">
        <v>260</v>
      </c>
      <c r="AV26" s="502">
        <f>AW26+AX26</f>
        <v>0</v>
      </c>
      <c r="AW26" s="502">
        <f>F26*AO26</f>
        <v>0</v>
      </c>
      <c r="AX26" s="502">
        <f>F26*AP26</f>
        <v>0</v>
      </c>
      <c r="AY26" s="504" t="s">
        <v>1312</v>
      </c>
      <c r="AZ26" s="504" t="s">
        <v>322</v>
      </c>
      <c r="BA26" s="485" t="s">
        <v>306</v>
      </c>
      <c r="BC26" s="502">
        <f>AW26+AX26</f>
        <v>0</v>
      </c>
      <c r="BD26" s="502">
        <f>G26/(100-BE26)*100</f>
        <v>0</v>
      </c>
      <c r="BE26" s="502">
        <v>0</v>
      </c>
      <c r="BF26" s="502">
        <f>26</f>
        <v>26</v>
      </c>
      <c r="BH26" s="502">
        <f>F26*AO26</f>
        <v>0</v>
      </c>
      <c r="BI26" s="502">
        <f>F26*AP26</f>
        <v>0</v>
      </c>
      <c r="BJ26" s="502">
        <f>F26*G26</f>
        <v>0</v>
      </c>
      <c r="BK26" s="502"/>
      <c r="BL26" s="502">
        <v>96</v>
      </c>
      <c r="BW26" s="502">
        <v>21</v>
      </c>
    </row>
    <row r="27" spans="1:75" ht="13.5" customHeight="1">
      <c r="A27" s="462" t="s">
        <v>273</v>
      </c>
      <c r="B27" s="463" t="s">
        <v>1325</v>
      </c>
      <c r="C27" s="649" t="s">
        <v>1326</v>
      </c>
      <c r="D27" s="641"/>
      <c r="E27" s="463" t="s">
        <v>35</v>
      </c>
      <c r="F27" s="502">
        <v>51</v>
      </c>
      <c r="G27" s="502">
        <v>0</v>
      </c>
      <c r="H27" s="502">
        <f>F27*AO27</f>
        <v>0</v>
      </c>
      <c r="I27" s="502">
        <f>F27*AP27</f>
        <v>0</v>
      </c>
      <c r="J27" s="502">
        <f>F27*G27</f>
        <v>0</v>
      </c>
      <c r="K27" s="503" t="s">
        <v>318</v>
      </c>
      <c r="Z27" s="502">
        <f>IF(AQ27="5",BJ27,0)</f>
        <v>0</v>
      </c>
      <c r="AB27" s="502">
        <f>IF(AQ27="1",BH27,0)</f>
        <v>0</v>
      </c>
      <c r="AC27" s="502">
        <f>IF(AQ27="1",BI27,0)</f>
        <v>0</v>
      </c>
      <c r="AD27" s="502">
        <f>IF(AQ27="7",BH27,0)</f>
        <v>0</v>
      </c>
      <c r="AE27" s="502">
        <f>IF(AQ27="7",BI27,0)</f>
        <v>0</v>
      </c>
      <c r="AF27" s="502">
        <f>IF(AQ27="2",BH27,0)</f>
        <v>0</v>
      </c>
      <c r="AG27" s="502">
        <f>IF(AQ27="2",BI27,0)</f>
        <v>0</v>
      </c>
      <c r="AH27" s="502">
        <f>IF(AQ27="0",BJ27,0)</f>
        <v>0</v>
      </c>
      <c r="AI27" s="485" t="s">
        <v>303</v>
      </c>
      <c r="AJ27" s="502">
        <f>IF(AN27=0,J27,0)</f>
        <v>0</v>
      </c>
      <c r="AK27" s="502">
        <f>IF(AN27=15,J27,0)</f>
        <v>0</v>
      </c>
      <c r="AL27" s="502">
        <f>IF(AN27=21,J27,0)</f>
        <v>0</v>
      </c>
      <c r="AN27" s="502">
        <v>21</v>
      </c>
      <c r="AO27" s="502">
        <f>G27*0</f>
        <v>0</v>
      </c>
      <c r="AP27" s="502">
        <f>G27*(1-0)</f>
        <v>0</v>
      </c>
      <c r="AQ27" s="504" t="s">
        <v>260</v>
      </c>
      <c r="AV27" s="502">
        <f>AW27+AX27</f>
        <v>0</v>
      </c>
      <c r="AW27" s="502">
        <f>F27*AO27</f>
        <v>0</v>
      </c>
      <c r="AX27" s="502">
        <f>F27*AP27</f>
        <v>0</v>
      </c>
      <c r="AY27" s="504" t="s">
        <v>1312</v>
      </c>
      <c r="AZ27" s="504" t="s">
        <v>322</v>
      </c>
      <c r="BA27" s="485" t="s">
        <v>306</v>
      </c>
      <c r="BC27" s="502">
        <f>AW27+AX27</f>
        <v>0</v>
      </c>
      <c r="BD27" s="502">
        <f>G27/(100-BE27)*100</f>
        <v>0</v>
      </c>
      <c r="BE27" s="502">
        <v>0</v>
      </c>
      <c r="BF27" s="502">
        <f>27</f>
        <v>27</v>
      </c>
      <c r="BH27" s="502">
        <f>F27*AO27</f>
        <v>0</v>
      </c>
      <c r="BI27" s="502">
        <f>F27*AP27</f>
        <v>0</v>
      </c>
      <c r="BJ27" s="502">
        <f>F27*G27</f>
        <v>0</v>
      </c>
      <c r="BK27" s="502"/>
      <c r="BL27" s="502">
        <v>96</v>
      </c>
      <c r="BW27" s="502">
        <v>21</v>
      </c>
    </row>
    <row r="28" spans="1:47" ht="15" customHeight="1">
      <c r="A28" s="498" t="s">
        <v>180</v>
      </c>
      <c r="B28" s="499" t="s">
        <v>287</v>
      </c>
      <c r="C28" s="691" t="s">
        <v>288</v>
      </c>
      <c r="D28" s="692"/>
      <c r="E28" s="500" t="s">
        <v>224</v>
      </c>
      <c r="F28" s="500" t="s">
        <v>224</v>
      </c>
      <c r="G28" s="500" t="s">
        <v>224</v>
      </c>
      <c r="H28" s="480">
        <f>SUM(H29:H29)</f>
        <v>0</v>
      </c>
      <c r="I28" s="480">
        <f>SUM(I29:I29)</f>
        <v>0</v>
      </c>
      <c r="J28" s="480">
        <f>SUM(J29:J29)</f>
        <v>0</v>
      </c>
      <c r="K28" s="501" t="s">
        <v>180</v>
      </c>
      <c r="AI28" s="485" t="s">
        <v>303</v>
      </c>
      <c r="AS28" s="480">
        <f>SUM(AJ29:AJ29)</f>
        <v>0</v>
      </c>
      <c r="AT28" s="480">
        <f>SUM(AK29:AK29)</f>
        <v>0</v>
      </c>
      <c r="AU28" s="480">
        <f>SUM(AL29:AL29)</f>
        <v>0</v>
      </c>
    </row>
    <row r="29" spans="1:75" ht="13.5" customHeight="1">
      <c r="A29" s="462" t="s">
        <v>274</v>
      </c>
      <c r="B29" s="463" t="s">
        <v>407</v>
      </c>
      <c r="C29" s="649" t="s">
        <v>408</v>
      </c>
      <c r="D29" s="641"/>
      <c r="E29" s="463" t="s">
        <v>43</v>
      </c>
      <c r="F29" s="502">
        <v>3</v>
      </c>
      <c r="G29" s="502">
        <v>0</v>
      </c>
      <c r="H29" s="502">
        <f>F29*AO29</f>
        <v>0</v>
      </c>
      <c r="I29" s="502">
        <f>F29*AP29</f>
        <v>0</v>
      </c>
      <c r="J29" s="502">
        <f>F29*G29</f>
        <v>0</v>
      </c>
      <c r="K29" s="503" t="s">
        <v>262</v>
      </c>
      <c r="Z29" s="502">
        <f>IF(AQ29="5",BJ29,0)</f>
        <v>0</v>
      </c>
      <c r="AB29" s="502">
        <f>IF(AQ29="1",BH29,0)</f>
        <v>0</v>
      </c>
      <c r="AC29" s="502">
        <f>IF(AQ29="1",BI29,0)</f>
        <v>0</v>
      </c>
      <c r="AD29" s="502">
        <f>IF(AQ29="7",BH29,0)</f>
        <v>0</v>
      </c>
      <c r="AE29" s="502">
        <f>IF(AQ29="7",BI29,0)</f>
        <v>0</v>
      </c>
      <c r="AF29" s="502">
        <f>IF(AQ29="2",BH29,0)</f>
        <v>0</v>
      </c>
      <c r="AG29" s="502">
        <f>IF(AQ29="2",BI29,0)</f>
        <v>0</v>
      </c>
      <c r="AH29" s="502">
        <f>IF(AQ29="0",BJ29,0)</f>
        <v>0</v>
      </c>
      <c r="AI29" s="485" t="s">
        <v>303</v>
      </c>
      <c r="AJ29" s="502">
        <f>IF(AN29=0,J29,0)</f>
        <v>0</v>
      </c>
      <c r="AK29" s="502">
        <f>IF(AN29=15,J29,0)</f>
        <v>0</v>
      </c>
      <c r="AL29" s="502">
        <f>IF(AN29=21,J29,0)</f>
        <v>0</v>
      </c>
      <c r="AN29" s="502">
        <v>21</v>
      </c>
      <c r="AO29" s="502">
        <f>G29*0</f>
        <v>0</v>
      </c>
      <c r="AP29" s="502">
        <f>G29*(1-0)</f>
        <v>0</v>
      </c>
      <c r="AQ29" s="504" t="s">
        <v>270</v>
      </c>
      <c r="AV29" s="502">
        <f>AW29+AX29</f>
        <v>0</v>
      </c>
      <c r="AW29" s="502">
        <f>F29*AO29</f>
        <v>0</v>
      </c>
      <c r="AX29" s="502">
        <f>F29*AP29</f>
        <v>0</v>
      </c>
      <c r="AY29" s="504" t="s">
        <v>292</v>
      </c>
      <c r="AZ29" s="504" t="s">
        <v>322</v>
      </c>
      <c r="BA29" s="485" t="s">
        <v>306</v>
      </c>
      <c r="BC29" s="502">
        <f>AW29+AX29</f>
        <v>0</v>
      </c>
      <c r="BD29" s="502">
        <f>G29/(100-BE29)*100</f>
        <v>0</v>
      </c>
      <c r="BE29" s="502">
        <v>0</v>
      </c>
      <c r="BF29" s="502">
        <f>29</f>
        <v>29</v>
      </c>
      <c r="BH29" s="502">
        <f>F29*AO29</f>
        <v>0</v>
      </c>
      <c r="BI29" s="502">
        <f>F29*AP29</f>
        <v>0</v>
      </c>
      <c r="BJ29" s="502">
        <f>F29*G29</f>
        <v>0</v>
      </c>
      <c r="BK29" s="502"/>
      <c r="BL29" s="502"/>
      <c r="BW29" s="502">
        <v>21</v>
      </c>
    </row>
    <row r="30" spans="1:47" ht="15" customHeight="1">
      <c r="A30" s="498" t="s">
        <v>180</v>
      </c>
      <c r="B30" s="499" t="s">
        <v>294</v>
      </c>
      <c r="C30" s="691" t="s">
        <v>295</v>
      </c>
      <c r="D30" s="692"/>
      <c r="E30" s="500" t="s">
        <v>224</v>
      </c>
      <c r="F30" s="500" t="s">
        <v>224</v>
      </c>
      <c r="G30" s="500" t="s">
        <v>224</v>
      </c>
      <c r="H30" s="480">
        <f>SUM(H31:H33)</f>
        <v>0</v>
      </c>
      <c r="I30" s="480">
        <f>SUM(I31:I33)</f>
        <v>0</v>
      </c>
      <c r="J30" s="480">
        <f>SUM(J31:J33)</f>
        <v>0</v>
      </c>
      <c r="K30" s="501" t="s">
        <v>180</v>
      </c>
      <c r="AI30" s="485" t="s">
        <v>303</v>
      </c>
      <c r="AS30" s="480">
        <f>SUM(AJ31:AJ33)</f>
        <v>0</v>
      </c>
      <c r="AT30" s="480">
        <f>SUM(AK31:AK33)</f>
        <v>0</v>
      </c>
      <c r="AU30" s="480">
        <f>SUM(AL31:AL33)</f>
        <v>0</v>
      </c>
    </row>
    <row r="31" spans="1:75" ht="13.5" customHeight="1">
      <c r="A31" s="462" t="s">
        <v>277</v>
      </c>
      <c r="B31" s="463" t="s">
        <v>409</v>
      </c>
      <c r="C31" s="649" t="s">
        <v>1322</v>
      </c>
      <c r="D31" s="641"/>
      <c r="E31" s="463" t="s">
        <v>43</v>
      </c>
      <c r="F31" s="502">
        <v>3.65</v>
      </c>
      <c r="G31" s="502">
        <v>0</v>
      </c>
      <c r="H31" s="502">
        <f>F31*AO31</f>
        <v>0</v>
      </c>
      <c r="I31" s="502">
        <f>F31*AP31</f>
        <v>0</v>
      </c>
      <c r="J31" s="502">
        <f>F31*G31</f>
        <v>0</v>
      </c>
      <c r="K31" s="503" t="s">
        <v>262</v>
      </c>
      <c r="Z31" s="502">
        <f>IF(AQ31="5",BJ31,0)</f>
        <v>0</v>
      </c>
      <c r="AB31" s="502">
        <f>IF(AQ31="1",BH31,0)</f>
        <v>0</v>
      </c>
      <c r="AC31" s="502">
        <f>IF(AQ31="1",BI31,0)</f>
        <v>0</v>
      </c>
      <c r="AD31" s="502">
        <f>IF(AQ31="7",BH31,0)</f>
        <v>0</v>
      </c>
      <c r="AE31" s="502">
        <f>IF(AQ31="7",BI31,0)</f>
        <v>0</v>
      </c>
      <c r="AF31" s="502">
        <f>IF(AQ31="2",BH31,0)</f>
        <v>0</v>
      </c>
      <c r="AG31" s="502">
        <f>IF(AQ31="2",BI31,0)</f>
        <v>0</v>
      </c>
      <c r="AH31" s="502">
        <f>IF(AQ31="0",BJ31,0)</f>
        <v>0</v>
      </c>
      <c r="AI31" s="485" t="s">
        <v>303</v>
      </c>
      <c r="AJ31" s="502">
        <f>IF(AN31=0,J31,0)</f>
        <v>0</v>
      </c>
      <c r="AK31" s="502">
        <f>IF(AN31=15,J31,0)</f>
        <v>0</v>
      </c>
      <c r="AL31" s="502">
        <f>IF(AN31=21,J31,0)</f>
        <v>0</v>
      </c>
      <c r="AN31" s="502">
        <v>21</v>
      </c>
      <c r="AO31" s="502">
        <f>G31*0.0104285714285714</f>
        <v>0</v>
      </c>
      <c r="AP31" s="502">
        <f>G31*(1-0.0104285714285714)</f>
        <v>0</v>
      </c>
      <c r="AQ31" s="504" t="s">
        <v>270</v>
      </c>
      <c r="AV31" s="502">
        <f>AW31+AX31</f>
        <v>0</v>
      </c>
      <c r="AW31" s="502">
        <f>F31*AO31</f>
        <v>0</v>
      </c>
      <c r="AX31" s="502">
        <f>F31*AP31</f>
        <v>0</v>
      </c>
      <c r="AY31" s="504" t="s">
        <v>298</v>
      </c>
      <c r="AZ31" s="504" t="s">
        <v>322</v>
      </c>
      <c r="BA31" s="485" t="s">
        <v>306</v>
      </c>
      <c r="BC31" s="502">
        <f>AW31+AX31</f>
        <v>0</v>
      </c>
      <c r="BD31" s="502">
        <f>G31/(100-BE31)*100</f>
        <v>0</v>
      </c>
      <c r="BE31" s="502">
        <v>0</v>
      </c>
      <c r="BF31" s="502">
        <f>31</f>
        <v>31</v>
      </c>
      <c r="BH31" s="502">
        <f>F31*AO31</f>
        <v>0</v>
      </c>
      <c r="BI31" s="502">
        <f>F31*AP31</f>
        <v>0</v>
      </c>
      <c r="BJ31" s="502">
        <f>F31*G31</f>
        <v>0</v>
      </c>
      <c r="BK31" s="502"/>
      <c r="BL31" s="502"/>
      <c r="BW31" s="502">
        <v>21</v>
      </c>
    </row>
    <row r="32" spans="1:11" ht="40.5" customHeight="1">
      <c r="A32" s="505"/>
      <c r="B32" s="506" t="s">
        <v>220</v>
      </c>
      <c r="C32" s="693" t="s">
        <v>1327</v>
      </c>
      <c r="D32" s="694"/>
      <c r="E32" s="694"/>
      <c r="F32" s="694"/>
      <c r="G32" s="694"/>
      <c r="H32" s="694"/>
      <c r="I32" s="694"/>
      <c r="J32" s="694"/>
      <c r="K32" s="695"/>
    </row>
    <row r="33" spans="1:75" ht="13.5" customHeight="1">
      <c r="A33" s="462" t="s">
        <v>257</v>
      </c>
      <c r="B33" s="463" t="s">
        <v>411</v>
      </c>
      <c r="C33" s="649" t="s">
        <v>412</v>
      </c>
      <c r="D33" s="641"/>
      <c r="E33" s="463" t="s">
        <v>43</v>
      </c>
      <c r="F33" s="502">
        <v>3.65</v>
      </c>
      <c r="G33" s="502">
        <v>0</v>
      </c>
      <c r="H33" s="502">
        <f>F33*AO33</f>
        <v>0</v>
      </c>
      <c r="I33" s="502">
        <f>F33*AP33</f>
        <v>0</v>
      </c>
      <c r="J33" s="502">
        <f>F33*G33</f>
        <v>0</v>
      </c>
      <c r="K33" s="503" t="s">
        <v>262</v>
      </c>
      <c r="Z33" s="502">
        <f>IF(AQ33="5",BJ33,0)</f>
        <v>0</v>
      </c>
      <c r="AB33" s="502">
        <f>IF(AQ33="1",BH33,0)</f>
        <v>0</v>
      </c>
      <c r="AC33" s="502">
        <f>IF(AQ33="1",BI33,0)</f>
        <v>0</v>
      </c>
      <c r="AD33" s="502">
        <f>IF(AQ33="7",BH33,0)</f>
        <v>0</v>
      </c>
      <c r="AE33" s="502">
        <f>IF(AQ33="7",BI33,0)</f>
        <v>0</v>
      </c>
      <c r="AF33" s="502">
        <f>IF(AQ33="2",BH33,0)</f>
        <v>0</v>
      </c>
      <c r="AG33" s="502">
        <f>IF(AQ33="2",BI33,0)</f>
        <v>0</v>
      </c>
      <c r="AH33" s="502">
        <f>IF(AQ33="0",BJ33,0)</f>
        <v>0</v>
      </c>
      <c r="AI33" s="485" t="s">
        <v>303</v>
      </c>
      <c r="AJ33" s="502">
        <f>IF(AN33=0,J33,0)</f>
        <v>0</v>
      </c>
      <c r="AK33" s="502">
        <f>IF(AN33=15,J33,0)</f>
        <v>0</v>
      </c>
      <c r="AL33" s="502">
        <f>IF(AN33=21,J33,0)</f>
        <v>0</v>
      </c>
      <c r="AN33" s="502">
        <v>21</v>
      </c>
      <c r="AO33" s="502">
        <f>G33*0</f>
        <v>0</v>
      </c>
      <c r="AP33" s="502">
        <f>G33*(1-0)</f>
        <v>0</v>
      </c>
      <c r="AQ33" s="504" t="s">
        <v>270</v>
      </c>
      <c r="AV33" s="502">
        <f>AW33+AX33</f>
        <v>0</v>
      </c>
      <c r="AW33" s="502">
        <f>F33*AO33</f>
        <v>0</v>
      </c>
      <c r="AX33" s="502">
        <f>F33*AP33</f>
        <v>0</v>
      </c>
      <c r="AY33" s="504" t="s">
        <v>298</v>
      </c>
      <c r="AZ33" s="504" t="s">
        <v>322</v>
      </c>
      <c r="BA33" s="485" t="s">
        <v>306</v>
      </c>
      <c r="BC33" s="502">
        <f>AW33+AX33</f>
        <v>0</v>
      </c>
      <c r="BD33" s="502">
        <f>G33/(100-BE33)*100</f>
        <v>0</v>
      </c>
      <c r="BE33" s="502">
        <v>0</v>
      </c>
      <c r="BF33" s="502">
        <f>33</f>
        <v>33</v>
      </c>
      <c r="BH33" s="502">
        <f>F33*AO33</f>
        <v>0</v>
      </c>
      <c r="BI33" s="502">
        <f>F33*AP33</f>
        <v>0</v>
      </c>
      <c r="BJ33" s="502">
        <f>F33*G33</f>
        <v>0</v>
      </c>
      <c r="BK33" s="502"/>
      <c r="BL33" s="502"/>
      <c r="BW33" s="502">
        <v>21</v>
      </c>
    </row>
    <row r="34" spans="1:11" ht="15" customHeight="1">
      <c r="A34" s="493" t="s">
        <v>180</v>
      </c>
      <c r="B34" s="494" t="s">
        <v>180</v>
      </c>
      <c r="C34" s="689" t="s">
        <v>1328</v>
      </c>
      <c r="D34" s="690"/>
      <c r="E34" s="495" t="s">
        <v>224</v>
      </c>
      <c r="F34" s="495" t="s">
        <v>224</v>
      </c>
      <c r="G34" s="495" t="s">
        <v>224</v>
      </c>
      <c r="H34" s="496">
        <f>H35+H37</f>
        <v>0</v>
      </c>
      <c r="I34" s="496">
        <f>I35+I37</f>
        <v>0</v>
      </c>
      <c r="J34" s="496">
        <f>J35+J37</f>
        <v>0</v>
      </c>
      <c r="K34" s="497" t="s">
        <v>180</v>
      </c>
    </row>
    <row r="35" spans="1:47" ht="15" customHeight="1">
      <c r="A35" s="498" t="s">
        <v>180</v>
      </c>
      <c r="B35" s="499" t="s">
        <v>1329</v>
      </c>
      <c r="C35" s="691" t="s">
        <v>1330</v>
      </c>
      <c r="D35" s="692"/>
      <c r="E35" s="500" t="s">
        <v>224</v>
      </c>
      <c r="F35" s="500" t="s">
        <v>224</v>
      </c>
      <c r="G35" s="500" t="s">
        <v>224</v>
      </c>
      <c r="H35" s="480">
        <f>SUM(H36:H36)</f>
        <v>0</v>
      </c>
      <c r="I35" s="480">
        <f>SUM(I36:I36)</f>
        <v>0</v>
      </c>
      <c r="J35" s="480">
        <f>SUM(J36:J36)</f>
        <v>0</v>
      </c>
      <c r="K35" s="501" t="s">
        <v>180</v>
      </c>
      <c r="AI35" s="485" t="s">
        <v>340</v>
      </c>
      <c r="AS35" s="480">
        <f>SUM(AJ36:AJ36)</f>
        <v>0</v>
      </c>
      <c r="AT35" s="480">
        <f>SUM(AK36:AK36)</f>
        <v>0</v>
      </c>
      <c r="AU35" s="480">
        <f>SUM(AL36:AL36)</f>
        <v>0</v>
      </c>
    </row>
    <row r="36" spans="1:75" ht="13.5" customHeight="1">
      <c r="A36" s="462" t="s">
        <v>279</v>
      </c>
      <c r="B36" s="463" t="s">
        <v>1331</v>
      </c>
      <c r="C36" s="649" t="s">
        <v>1332</v>
      </c>
      <c r="D36" s="641"/>
      <c r="E36" s="463" t="s">
        <v>261</v>
      </c>
      <c r="F36" s="502">
        <v>145</v>
      </c>
      <c r="G36" s="502">
        <v>0</v>
      </c>
      <c r="H36" s="502">
        <f>F36*AO36</f>
        <v>0</v>
      </c>
      <c r="I36" s="502">
        <f>F36*AP36</f>
        <v>0</v>
      </c>
      <c r="J36" s="502">
        <f>F36*G36</f>
        <v>0</v>
      </c>
      <c r="K36" s="503" t="s">
        <v>318</v>
      </c>
      <c r="Z36" s="502">
        <f>IF(AQ36="5",BJ36,0)</f>
        <v>0</v>
      </c>
      <c r="AB36" s="502">
        <f>IF(AQ36="1",BH36,0)</f>
        <v>0</v>
      </c>
      <c r="AC36" s="502">
        <f>IF(AQ36="1",BI36,0)</f>
        <v>0</v>
      </c>
      <c r="AD36" s="502">
        <f>IF(AQ36="7",BH36,0)</f>
        <v>0</v>
      </c>
      <c r="AE36" s="502">
        <f>IF(AQ36="7",BI36,0)</f>
        <v>0</v>
      </c>
      <c r="AF36" s="502">
        <f>IF(AQ36="2",BH36,0)</f>
        <v>0</v>
      </c>
      <c r="AG36" s="502">
        <f>IF(AQ36="2",BI36,0)</f>
        <v>0</v>
      </c>
      <c r="AH36" s="502">
        <f>IF(AQ36="0",BJ36,0)</f>
        <v>0</v>
      </c>
      <c r="AI36" s="485" t="s">
        <v>340</v>
      </c>
      <c r="AJ36" s="502">
        <f>IF(AN36=0,J36,0)</f>
        <v>0</v>
      </c>
      <c r="AK36" s="502">
        <f>IF(AN36=15,J36,0)</f>
        <v>0</v>
      </c>
      <c r="AL36" s="502">
        <f>IF(AN36=21,J36,0)</f>
        <v>0</v>
      </c>
      <c r="AN36" s="502">
        <v>21</v>
      </c>
      <c r="AO36" s="502">
        <f>G36*0.585714285714286</f>
        <v>0</v>
      </c>
      <c r="AP36" s="502">
        <f>G36*(1-0.585714285714286)</f>
        <v>0</v>
      </c>
      <c r="AQ36" s="504" t="s">
        <v>272</v>
      </c>
      <c r="AV36" s="502">
        <f>AW36+AX36</f>
        <v>0</v>
      </c>
      <c r="AW36" s="502">
        <f>F36*AO36</f>
        <v>0</v>
      </c>
      <c r="AX36" s="502">
        <f>F36*AP36</f>
        <v>0</v>
      </c>
      <c r="AY36" s="504" t="s">
        <v>1333</v>
      </c>
      <c r="AZ36" s="504" t="s">
        <v>1334</v>
      </c>
      <c r="BA36" s="485" t="s">
        <v>343</v>
      </c>
      <c r="BC36" s="502">
        <f>AW36+AX36</f>
        <v>0</v>
      </c>
      <c r="BD36" s="502">
        <f>G36/(100-BE36)*100</f>
        <v>0</v>
      </c>
      <c r="BE36" s="502">
        <v>0</v>
      </c>
      <c r="BF36" s="502">
        <f>36</f>
        <v>36</v>
      </c>
      <c r="BH36" s="502">
        <f>F36*AO36</f>
        <v>0</v>
      </c>
      <c r="BI36" s="502">
        <f>F36*AP36</f>
        <v>0</v>
      </c>
      <c r="BJ36" s="502">
        <f>F36*G36</f>
        <v>0</v>
      </c>
      <c r="BK36" s="502"/>
      <c r="BL36" s="502">
        <v>711</v>
      </c>
      <c r="BW36" s="502">
        <v>21</v>
      </c>
    </row>
    <row r="37" spans="1:47" ht="15" customHeight="1">
      <c r="A37" s="498" t="s">
        <v>180</v>
      </c>
      <c r="B37" s="499" t="s">
        <v>1335</v>
      </c>
      <c r="C37" s="691" t="s">
        <v>1336</v>
      </c>
      <c r="D37" s="692"/>
      <c r="E37" s="500" t="s">
        <v>224</v>
      </c>
      <c r="F37" s="500" t="s">
        <v>224</v>
      </c>
      <c r="G37" s="500" t="s">
        <v>224</v>
      </c>
      <c r="H37" s="480">
        <f>SUM(H38:H38)</f>
        <v>0</v>
      </c>
      <c r="I37" s="480">
        <f>SUM(I38:I38)</f>
        <v>0</v>
      </c>
      <c r="J37" s="480">
        <f>SUM(J38:J38)</f>
        <v>0</v>
      </c>
      <c r="K37" s="501" t="s">
        <v>180</v>
      </c>
      <c r="AI37" s="485" t="s">
        <v>340</v>
      </c>
      <c r="AS37" s="480">
        <f>SUM(AJ38:AJ38)</f>
        <v>0</v>
      </c>
      <c r="AT37" s="480">
        <f>SUM(AK38:AK38)</f>
        <v>0</v>
      </c>
      <c r="AU37" s="480">
        <f>SUM(AL38:AL38)</f>
        <v>0</v>
      </c>
    </row>
    <row r="38" spans="1:75" ht="13.5" customHeight="1">
      <c r="A38" s="462" t="s">
        <v>280</v>
      </c>
      <c r="B38" s="463" t="s">
        <v>1337</v>
      </c>
      <c r="C38" s="649" t="s">
        <v>1338</v>
      </c>
      <c r="D38" s="641"/>
      <c r="E38" s="463" t="s">
        <v>261</v>
      </c>
      <c r="F38" s="502">
        <v>145</v>
      </c>
      <c r="G38" s="502">
        <v>0</v>
      </c>
      <c r="H38" s="502">
        <f>F38*AO38</f>
        <v>0</v>
      </c>
      <c r="I38" s="502">
        <f>F38*AP38</f>
        <v>0</v>
      </c>
      <c r="J38" s="502">
        <f>F38*G38</f>
        <v>0</v>
      </c>
      <c r="K38" s="503" t="s">
        <v>318</v>
      </c>
      <c r="Z38" s="502">
        <f>IF(AQ38="5",BJ38,0)</f>
        <v>0</v>
      </c>
      <c r="AB38" s="502">
        <f>IF(AQ38="1",BH38,0)</f>
        <v>0</v>
      </c>
      <c r="AC38" s="502">
        <f>IF(AQ38="1",BI38,0)</f>
        <v>0</v>
      </c>
      <c r="AD38" s="502">
        <f>IF(AQ38="7",BH38,0)</f>
        <v>0</v>
      </c>
      <c r="AE38" s="502">
        <f>IF(AQ38="7",BI38,0)</f>
        <v>0</v>
      </c>
      <c r="AF38" s="502">
        <f>IF(AQ38="2",BH38,0)</f>
        <v>0</v>
      </c>
      <c r="AG38" s="502">
        <f>IF(AQ38="2",BI38,0)</f>
        <v>0</v>
      </c>
      <c r="AH38" s="502">
        <f>IF(AQ38="0",BJ38,0)</f>
        <v>0</v>
      </c>
      <c r="AI38" s="485" t="s">
        <v>340</v>
      </c>
      <c r="AJ38" s="502">
        <f>IF(AN38=0,J38,0)</f>
        <v>0</v>
      </c>
      <c r="AK38" s="502">
        <f>IF(AN38=15,J38,0)</f>
        <v>0</v>
      </c>
      <c r="AL38" s="502">
        <f>IF(AN38=21,J38,0)</f>
        <v>0</v>
      </c>
      <c r="AN38" s="502">
        <v>21</v>
      </c>
      <c r="AO38" s="502">
        <f>G38*0.00723684210526316</f>
        <v>0</v>
      </c>
      <c r="AP38" s="502">
        <f>G38*(1-0.00723684210526316)</f>
        <v>0</v>
      </c>
      <c r="AQ38" s="504" t="s">
        <v>272</v>
      </c>
      <c r="AV38" s="502">
        <f>AW38+AX38</f>
        <v>0</v>
      </c>
      <c r="AW38" s="502">
        <f>F38*AO38</f>
        <v>0</v>
      </c>
      <c r="AX38" s="502">
        <f>F38*AP38</f>
        <v>0</v>
      </c>
      <c r="AY38" s="504" t="s">
        <v>1339</v>
      </c>
      <c r="AZ38" s="504" t="s">
        <v>1340</v>
      </c>
      <c r="BA38" s="485" t="s">
        <v>343</v>
      </c>
      <c r="BC38" s="502">
        <f>AW38+AX38</f>
        <v>0</v>
      </c>
      <c r="BD38" s="502">
        <f>G38/(100-BE38)*100</f>
        <v>0</v>
      </c>
      <c r="BE38" s="502">
        <v>0</v>
      </c>
      <c r="BF38" s="502">
        <f>38</f>
        <v>38</v>
      </c>
      <c r="BH38" s="502">
        <f>F38*AO38</f>
        <v>0</v>
      </c>
      <c r="BI38" s="502">
        <f>F38*AP38</f>
        <v>0</v>
      </c>
      <c r="BJ38" s="502">
        <f>F38*G38</f>
        <v>0</v>
      </c>
      <c r="BK38" s="502"/>
      <c r="BL38" s="502">
        <v>784</v>
      </c>
      <c r="BW38" s="502">
        <v>21</v>
      </c>
    </row>
    <row r="39" spans="1:11" ht="15" customHeight="1">
      <c r="A39" s="493" t="s">
        <v>180</v>
      </c>
      <c r="B39" s="494" t="s">
        <v>180</v>
      </c>
      <c r="C39" s="689" t="s">
        <v>1341</v>
      </c>
      <c r="D39" s="690"/>
      <c r="E39" s="495" t="s">
        <v>224</v>
      </c>
      <c r="F39" s="495" t="s">
        <v>224</v>
      </c>
      <c r="G39" s="495" t="s">
        <v>224</v>
      </c>
      <c r="H39" s="496">
        <f>H40+H42</f>
        <v>0</v>
      </c>
      <c r="I39" s="496">
        <f>I40+I42</f>
        <v>0</v>
      </c>
      <c r="J39" s="496">
        <f>J40+J42</f>
        <v>0</v>
      </c>
      <c r="K39" s="497" t="s">
        <v>180</v>
      </c>
    </row>
    <row r="40" spans="1:47" ht="15" customHeight="1">
      <c r="A40" s="498" t="s">
        <v>180</v>
      </c>
      <c r="B40" s="499" t="s">
        <v>287</v>
      </c>
      <c r="C40" s="691" t="s">
        <v>288</v>
      </c>
      <c r="D40" s="692"/>
      <c r="E40" s="500" t="s">
        <v>224</v>
      </c>
      <c r="F40" s="500" t="s">
        <v>224</v>
      </c>
      <c r="G40" s="500" t="s">
        <v>224</v>
      </c>
      <c r="H40" s="480">
        <f>SUM(H41:H41)</f>
        <v>0</v>
      </c>
      <c r="I40" s="480">
        <f>SUM(I41:I41)</f>
        <v>0</v>
      </c>
      <c r="J40" s="480">
        <f>SUM(J41:J41)</f>
        <v>0</v>
      </c>
      <c r="K40" s="501" t="s">
        <v>180</v>
      </c>
      <c r="AI40" s="485" t="s">
        <v>371</v>
      </c>
      <c r="AS40" s="480">
        <f>SUM(AJ41:AJ41)</f>
        <v>0</v>
      </c>
      <c r="AT40" s="480">
        <f>SUM(AK41:AK41)</f>
        <v>0</v>
      </c>
      <c r="AU40" s="480">
        <f>SUM(AL41:AL41)</f>
        <v>0</v>
      </c>
    </row>
    <row r="41" spans="1:75" ht="13.5" customHeight="1">
      <c r="A41" s="462" t="s">
        <v>281</v>
      </c>
      <c r="B41" s="463" t="s">
        <v>407</v>
      </c>
      <c r="C41" s="649" t="s">
        <v>504</v>
      </c>
      <c r="D41" s="641"/>
      <c r="E41" s="463" t="s">
        <v>43</v>
      </c>
      <c r="F41" s="502">
        <v>3.5</v>
      </c>
      <c r="G41" s="502">
        <v>0</v>
      </c>
      <c r="H41" s="502">
        <f>F41*AO41</f>
        <v>0</v>
      </c>
      <c r="I41" s="502">
        <f>F41*AP41</f>
        <v>0</v>
      </c>
      <c r="J41" s="502">
        <f>F41*G41</f>
        <v>0</v>
      </c>
      <c r="K41" s="503" t="s">
        <v>262</v>
      </c>
      <c r="Z41" s="502">
        <f>IF(AQ41="5",BJ41,0)</f>
        <v>0</v>
      </c>
      <c r="AB41" s="502">
        <f>IF(AQ41="1",BH41,0)</f>
        <v>0</v>
      </c>
      <c r="AC41" s="502">
        <f>IF(AQ41="1",BI41,0)</f>
        <v>0</v>
      </c>
      <c r="AD41" s="502">
        <f>IF(AQ41="7",BH41,0)</f>
        <v>0</v>
      </c>
      <c r="AE41" s="502">
        <f>IF(AQ41="7",BI41,0)</f>
        <v>0</v>
      </c>
      <c r="AF41" s="502">
        <f>IF(AQ41="2",BH41,0)</f>
        <v>0</v>
      </c>
      <c r="AG41" s="502">
        <f>IF(AQ41="2",BI41,0)</f>
        <v>0</v>
      </c>
      <c r="AH41" s="502">
        <f>IF(AQ41="0",BJ41,0)</f>
        <v>0</v>
      </c>
      <c r="AI41" s="485" t="s">
        <v>371</v>
      </c>
      <c r="AJ41" s="502">
        <f>IF(AN41=0,J41,0)</f>
        <v>0</v>
      </c>
      <c r="AK41" s="502">
        <f>IF(AN41=15,J41,0)</f>
        <v>0</v>
      </c>
      <c r="AL41" s="502">
        <f>IF(AN41=21,J41,0)</f>
        <v>0</v>
      </c>
      <c r="AN41" s="502">
        <v>21</v>
      </c>
      <c r="AO41" s="502">
        <f>G41*0</f>
        <v>0</v>
      </c>
      <c r="AP41" s="502">
        <f>G41*(1-0)</f>
        <v>0</v>
      </c>
      <c r="AQ41" s="504" t="s">
        <v>270</v>
      </c>
      <c r="AV41" s="502">
        <f>AW41+AX41</f>
        <v>0</v>
      </c>
      <c r="AW41" s="502">
        <f>F41*AO41</f>
        <v>0</v>
      </c>
      <c r="AX41" s="502">
        <f>F41*AP41</f>
        <v>0</v>
      </c>
      <c r="AY41" s="504" t="s">
        <v>292</v>
      </c>
      <c r="AZ41" s="504" t="s">
        <v>393</v>
      </c>
      <c r="BA41" s="485" t="s">
        <v>374</v>
      </c>
      <c r="BC41" s="502">
        <f>AW41+AX41</f>
        <v>0</v>
      </c>
      <c r="BD41" s="502">
        <f>G41/(100-BE41)*100</f>
        <v>0</v>
      </c>
      <c r="BE41" s="502">
        <v>0</v>
      </c>
      <c r="BF41" s="502">
        <f>41</f>
        <v>41</v>
      </c>
      <c r="BH41" s="502">
        <f>F41*AO41</f>
        <v>0</v>
      </c>
      <c r="BI41" s="502">
        <f>F41*AP41</f>
        <v>0</v>
      </c>
      <c r="BJ41" s="502">
        <f>F41*G41</f>
        <v>0</v>
      </c>
      <c r="BK41" s="502"/>
      <c r="BL41" s="502"/>
      <c r="BW41" s="502">
        <v>21</v>
      </c>
    </row>
    <row r="42" spans="1:47" ht="15" customHeight="1">
      <c r="A42" s="498" t="s">
        <v>180</v>
      </c>
      <c r="B42" s="499" t="s">
        <v>180</v>
      </c>
      <c r="C42" s="691" t="s">
        <v>203</v>
      </c>
      <c r="D42" s="692"/>
      <c r="E42" s="500" t="s">
        <v>224</v>
      </c>
      <c r="F42" s="500" t="s">
        <v>224</v>
      </c>
      <c r="G42" s="500" t="s">
        <v>224</v>
      </c>
      <c r="H42" s="480">
        <f>SUM(H43:H60)</f>
        <v>0</v>
      </c>
      <c r="I42" s="480">
        <f>SUM(I43:I60)</f>
        <v>0</v>
      </c>
      <c r="J42" s="480">
        <f>SUM(J43:J60)</f>
        <v>0</v>
      </c>
      <c r="K42" s="501" t="s">
        <v>180</v>
      </c>
      <c r="AI42" s="485" t="s">
        <v>371</v>
      </c>
      <c r="AS42" s="480">
        <f>SUM(AJ43:AJ60)</f>
        <v>0</v>
      </c>
      <c r="AT42" s="480">
        <f>SUM(AK43:AK60)</f>
        <v>0</v>
      </c>
      <c r="AU42" s="480">
        <f>SUM(AL43:AL60)</f>
        <v>0</v>
      </c>
    </row>
    <row r="43" spans="1:75" ht="13.5" customHeight="1">
      <c r="A43" s="462" t="s">
        <v>282</v>
      </c>
      <c r="B43" s="463" t="s">
        <v>1342</v>
      </c>
      <c r="C43" s="649" t="s">
        <v>1343</v>
      </c>
      <c r="D43" s="641"/>
      <c r="E43" s="463" t="s">
        <v>267</v>
      </c>
      <c r="F43" s="502">
        <v>17</v>
      </c>
      <c r="G43" s="502">
        <v>0</v>
      </c>
      <c r="H43" s="502">
        <f>F43*AO43</f>
        <v>0</v>
      </c>
      <c r="I43" s="502">
        <f>F43*AP43</f>
        <v>0</v>
      </c>
      <c r="J43" s="502">
        <f>F43*G43</f>
        <v>0</v>
      </c>
      <c r="K43" s="503" t="s">
        <v>262</v>
      </c>
      <c r="Z43" s="502">
        <f>IF(AQ43="5",BJ43,0)</f>
        <v>0</v>
      </c>
      <c r="AB43" s="502">
        <f>IF(AQ43="1",BH43,0)</f>
        <v>0</v>
      </c>
      <c r="AC43" s="502">
        <f>IF(AQ43="1",BI43,0)</f>
        <v>0</v>
      </c>
      <c r="AD43" s="502">
        <f>IF(AQ43="7",BH43,0)</f>
        <v>0</v>
      </c>
      <c r="AE43" s="502">
        <f>IF(AQ43="7",BI43,0)</f>
        <v>0</v>
      </c>
      <c r="AF43" s="502">
        <f>IF(AQ43="2",BH43,0)</f>
        <v>0</v>
      </c>
      <c r="AG43" s="502">
        <f>IF(AQ43="2",BI43,0)</f>
        <v>0</v>
      </c>
      <c r="AH43" s="502">
        <f>IF(AQ43="0",BJ43,0)</f>
        <v>0</v>
      </c>
      <c r="AI43" s="485" t="s">
        <v>371</v>
      </c>
      <c r="AJ43" s="502">
        <f>IF(AN43=0,J43,0)</f>
        <v>0</v>
      </c>
      <c r="AK43" s="502">
        <f>IF(AN43=15,J43,0)</f>
        <v>0</v>
      </c>
      <c r="AL43" s="502">
        <f>IF(AN43=21,J43,0)</f>
        <v>0</v>
      </c>
      <c r="AN43" s="502">
        <v>21</v>
      </c>
      <c r="AO43" s="502">
        <f>G43*1</f>
        <v>0</v>
      </c>
      <c r="AP43" s="502">
        <f>G43*(1-1)</f>
        <v>0</v>
      </c>
      <c r="AQ43" s="504" t="s">
        <v>301</v>
      </c>
      <c r="AV43" s="502">
        <f>AW43+AX43</f>
        <v>0</v>
      </c>
      <c r="AW43" s="502">
        <f>F43*AO43</f>
        <v>0</v>
      </c>
      <c r="AX43" s="502">
        <f>F43*AP43</f>
        <v>0</v>
      </c>
      <c r="AY43" s="504" t="s">
        <v>302</v>
      </c>
      <c r="AZ43" s="504" t="s">
        <v>394</v>
      </c>
      <c r="BA43" s="485" t="s">
        <v>374</v>
      </c>
      <c r="BC43" s="502">
        <f>AW43+AX43</f>
        <v>0</v>
      </c>
      <c r="BD43" s="502">
        <f>G43/(100-BE43)*100</f>
        <v>0</v>
      </c>
      <c r="BE43" s="502">
        <v>0</v>
      </c>
      <c r="BF43" s="502">
        <f>43</f>
        <v>43</v>
      </c>
      <c r="BH43" s="502">
        <f>F43*AO43</f>
        <v>0</v>
      </c>
      <c r="BI43" s="502">
        <f>F43*AP43</f>
        <v>0</v>
      </c>
      <c r="BJ43" s="502">
        <f>F43*G43</f>
        <v>0</v>
      </c>
      <c r="BK43" s="502"/>
      <c r="BL43" s="502"/>
      <c r="BW43" s="502">
        <v>21</v>
      </c>
    </row>
    <row r="44" spans="1:11" ht="40.5" customHeight="1">
      <c r="A44" s="505"/>
      <c r="B44" s="506" t="s">
        <v>220</v>
      </c>
      <c r="C44" s="693" t="s">
        <v>1344</v>
      </c>
      <c r="D44" s="694"/>
      <c r="E44" s="694"/>
      <c r="F44" s="694"/>
      <c r="G44" s="694"/>
      <c r="H44" s="694"/>
      <c r="I44" s="694"/>
      <c r="J44" s="694"/>
      <c r="K44" s="695"/>
    </row>
    <row r="45" spans="1:75" ht="27" customHeight="1">
      <c r="A45" s="462" t="s">
        <v>275</v>
      </c>
      <c r="B45" s="463" t="s">
        <v>1345</v>
      </c>
      <c r="C45" s="649" t="s">
        <v>1346</v>
      </c>
      <c r="D45" s="641"/>
      <c r="E45" s="463" t="s">
        <v>51</v>
      </c>
      <c r="F45" s="502">
        <v>2</v>
      </c>
      <c r="G45" s="502">
        <v>0</v>
      </c>
      <c r="H45" s="502">
        <f>F45*AO45</f>
        <v>0</v>
      </c>
      <c r="I45" s="502">
        <f>F45*AP45</f>
        <v>0</v>
      </c>
      <c r="J45" s="502">
        <f>F45*G45</f>
        <v>0</v>
      </c>
      <c r="K45" s="503" t="s">
        <v>180</v>
      </c>
      <c r="Z45" s="502">
        <f>IF(AQ45="5",BJ45,0)</f>
        <v>0</v>
      </c>
      <c r="AB45" s="502">
        <f>IF(AQ45="1",BH45,0)</f>
        <v>0</v>
      </c>
      <c r="AC45" s="502">
        <f>IF(AQ45="1",BI45,0)</f>
        <v>0</v>
      </c>
      <c r="AD45" s="502">
        <f>IF(AQ45="7",BH45,0)</f>
        <v>0</v>
      </c>
      <c r="AE45" s="502">
        <f>IF(AQ45="7",BI45,0)</f>
        <v>0</v>
      </c>
      <c r="AF45" s="502">
        <f>IF(AQ45="2",BH45,0)</f>
        <v>0</v>
      </c>
      <c r="AG45" s="502">
        <f>IF(AQ45="2",BI45,0)</f>
        <v>0</v>
      </c>
      <c r="AH45" s="502">
        <f>IF(AQ45="0",BJ45,0)</f>
        <v>0</v>
      </c>
      <c r="AI45" s="485" t="s">
        <v>371</v>
      </c>
      <c r="AJ45" s="502">
        <f>IF(AN45=0,J45,0)</f>
        <v>0</v>
      </c>
      <c r="AK45" s="502">
        <f>IF(AN45=15,J45,0)</f>
        <v>0</v>
      </c>
      <c r="AL45" s="502">
        <f>IF(AN45=21,J45,0)</f>
        <v>0</v>
      </c>
      <c r="AN45" s="502">
        <v>21</v>
      </c>
      <c r="AO45" s="502">
        <f>G45*1</f>
        <v>0</v>
      </c>
      <c r="AP45" s="502">
        <f>G45*(1-1)</f>
        <v>0</v>
      </c>
      <c r="AQ45" s="504" t="s">
        <v>301</v>
      </c>
      <c r="AV45" s="502">
        <f>AW45+AX45</f>
        <v>0</v>
      </c>
      <c r="AW45" s="502">
        <f>F45*AO45</f>
        <v>0</v>
      </c>
      <c r="AX45" s="502">
        <f>F45*AP45</f>
        <v>0</v>
      </c>
      <c r="AY45" s="504" t="s">
        <v>302</v>
      </c>
      <c r="AZ45" s="504" t="s">
        <v>394</v>
      </c>
      <c r="BA45" s="485" t="s">
        <v>374</v>
      </c>
      <c r="BC45" s="502">
        <f>AW45+AX45</f>
        <v>0</v>
      </c>
      <c r="BD45" s="502">
        <f>G45/(100-BE45)*100</f>
        <v>0</v>
      </c>
      <c r="BE45" s="502">
        <v>0</v>
      </c>
      <c r="BF45" s="502">
        <f>45</f>
        <v>45</v>
      </c>
      <c r="BH45" s="502">
        <f>F45*AO45</f>
        <v>0</v>
      </c>
      <c r="BI45" s="502">
        <f>F45*AP45</f>
        <v>0</v>
      </c>
      <c r="BJ45" s="502">
        <f>F45*G45</f>
        <v>0</v>
      </c>
      <c r="BK45" s="502"/>
      <c r="BL45" s="502"/>
      <c r="BW45" s="502">
        <v>21</v>
      </c>
    </row>
    <row r="46" spans="1:11" ht="40.5" customHeight="1">
      <c r="A46" s="505"/>
      <c r="B46" s="506" t="s">
        <v>220</v>
      </c>
      <c r="C46" s="693" t="s">
        <v>1347</v>
      </c>
      <c r="D46" s="694"/>
      <c r="E46" s="694"/>
      <c r="F46" s="694"/>
      <c r="G46" s="694"/>
      <c r="H46" s="694"/>
      <c r="I46" s="694"/>
      <c r="J46" s="694"/>
      <c r="K46" s="695"/>
    </row>
    <row r="47" spans="1:75" ht="13.5" customHeight="1">
      <c r="A47" s="462" t="s">
        <v>283</v>
      </c>
      <c r="B47" s="463" t="s">
        <v>1348</v>
      </c>
      <c r="C47" s="649" t="s">
        <v>1349</v>
      </c>
      <c r="D47" s="641"/>
      <c r="E47" s="463" t="s">
        <v>267</v>
      </c>
      <c r="F47" s="502">
        <v>4</v>
      </c>
      <c r="G47" s="502">
        <v>0</v>
      </c>
      <c r="H47" s="502">
        <f>F47*AO47</f>
        <v>0</v>
      </c>
      <c r="I47" s="502">
        <f>F47*AP47</f>
        <v>0</v>
      </c>
      <c r="J47" s="502">
        <f>F47*G47</f>
        <v>0</v>
      </c>
      <c r="K47" s="503" t="s">
        <v>318</v>
      </c>
      <c r="Z47" s="502">
        <f>IF(AQ47="5",BJ47,0)</f>
        <v>0</v>
      </c>
      <c r="AB47" s="502">
        <f>IF(AQ47="1",BH47,0)</f>
        <v>0</v>
      </c>
      <c r="AC47" s="502">
        <f>IF(AQ47="1",BI47,0)</f>
        <v>0</v>
      </c>
      <c r="AD47" s="502">
        <f>IF(AQ47="7",BH47,0)</f>
        <v>0</v>
      </c>
      <c r="AE47" s="502">
        <f>IF(AQ47="7",BI47,0)</f>
        <v>0</v>
      </c>
      <c r="AF47" s="502">
        <f>IF(AQ47="2",BH47,0)</f>
        <v>0</v>
      </c>
      <c r="AG47" s="502">
        <f>IF(AQ47="2",BI47,0)</f>
        <v>0</v>
      </c>
      <c r="AH47" s="502">
        <f>IF(AQ47="0",BJ47,0)</f>
        <v>0</v>
      </c>
      <c r="AI47" s="485" t="s">
        <v>371</v>
      </c>
      <c r="AJ47" s="502">
        <f>IF(AN47=0,J47,0)</f>
        <v>0</v>
      </c>
      <c r="AK47" s="502">
        <f>IF(AN47=15,J47,0)</f>
        <v>0</v>
      </c>
      <c r="AL47" s="502">
        <f>IF(AN47=21,J47,0)</f>
        <v>0</v>
      </c>
      <c r="AN47" s="502">
        <v>21</v>
      </c>
      <c r="AO47" s="502">
        <f>G47*1</f>
        <v>0</v>
      </c>
      <c r="AP47" s="502">
        <f>G47*(1-1)</f>
        <v>0</v>
      </c>
      <c r="AQ47" s="504" t="s">
        <v>301</v>
      </c>
      <c r="AV47" s="502">
        <f>AW47+AX47</f>
        <v>0</v>
      </c>
      <c r="AW47" s="502">
        <f>F47*AO47</f>
        <v>0</v>
      </c>
      <c r="AX47" s="502">
        <f>F47*AP47</f>
        <v>0</v>
      </c>
      <c r="AY47" s="504" t="s">
        <v>302</v>
      </c>
      <c r="AZ47" s="504" t="s">
        <v>394</v>
      </c>
      <c r="BA47" s="485" t="s">
        <v>374</v>
      </c>
      <c r="BC47" s="502">
        <f>AW47+AX47</f>
        <v>0</v>
      </c>
      <c r="BD47" s="502">
        <f>G47/(100-BE47)*100</f>
        <v>0</v>
      </c>
      <c r="BE47" s="502">
        <v>0</v>
      </c>
      <c r="BF47" s="502">
        <f>47</f>
        <v>47</v>
      </c>
      <c r="BH47" s="502">
        <f>F47*AO47</f>
        <v>0</v>
      </c>
      <c r="BI47" s="502">
        <f>F47*AP47</f>
        <v>0</v>
      </c>
      <c r="BJ47" s="502">
        <f>F47*G47</f>
        <v>0</v>
      </c>
      <c r="BK47" s="502"/>
      <c r="BL47" s="502"/>
      <c r="BW47" s="502">
        <v>21</v>
      </c>
    </row>
    <row r="48" spans="1:11" ht="27" customHeight="1">
      <c r="A48" s="505"/>
      <c r="B48" s="506" t="s">
        <v>220</v>
      </c>
      <c r="C48" s="693" t="s">
        <v>1350</v>
      </c>
      <c r="D48" s="694"/>
      <c r="E48" s="694"/>
      <c r="F48" s="694"/>
      <c r="G48" s="694"/>
      <c r="H48" s="694"/>
      <c r="I48" s="694"/>
      <c r="J48" s="694"/>
      <c r="K48" s="695"/>
    </row>
    <row r="49" spans="1:75" ht="13.5" customHeight="1">
      <c r="A49" s="462" t="s">
        <v>285</v>
      </c>
      <c r="B49" s="463" t="s">
        <v>1351</v>
      </c>
      <c r="C49" s="649" t="s">
        <v>1352</v>
      </c>
      <c r="D49" s="641"/>
      <c r="E49" s="463" t="s">
        <v>51</v>
      </c>
      <c r="F49" s="502">
        <v>2</v>
      </c>
      <c r="G49" s="502">
        <v>0</v>
      </c>
      <c r="H49" s="502">
        <f>F49*AO49</f>
        <v>0</v>
      </c>
      <c r="I49" s="502">
        <f>F49*AP49</f>
        <v>0</v>
      </c>
      <c r="J49" s="502">
        <f>F49*G49</f>
        <v>0</v>
      </c>
      <c r="K49" s="503" t="s">
        <v>180</v>
      </c>
      <c r="Z49" s="502">
        <f>IF(AQ49="5",BJ49,0)</f>
        <v>0</v>
      </c>
      <c r="AB49" s="502">
        <f>IF(AQ49="1",BH49,0)</f>
        <v>0</v>
      </c>
      <c r="AC49" s="502">
        <f>IF(AQ49="1",BI49,0)</f>
        <v>0</v>
      </c>
      <c r="AD49" s="502">
        <f>IF(AQ49="7",BH49,0)</f>
        <v>0</v>
      </c>
      <c r="AE49" s="502">
        <f>IF(AQ49="7",BI49,0)</f>
        <v>0</v>
      </c>
      <c r="AF49" s="502">
        <f>IF(AQ49="2",BH49,0)</f>
        <v>0</v>
      </c>
      <c r="AG49" s="502">
        <f>IF(AQ49="2",BI49,0)</f>
        <v>0</v>
      </c>
      <c r="AH49" s="502">
        <f>IF(AQ49="0",BJ49,0)</f>
        <v>0</v>
      </c>
      <c r="AI49" s="485" t="s">
        <v>371</v>
      </c>
      <c r="AJ49" s="502">
        <f>IF(AN49=0,J49,0)</f>
        <v>0</v>
      </c>
      <c r="AK49" s="502">
        <f>IF(AN49=15,J49,0)</f>
        <v>0</v>
      </c>
      <c r="AL49" s="502">
        <f>IF(AN49=21,J49,0)</f>
        <v>0</v>
      </c>
      <c r="AN49" s="502">
        <v>21</v>
      </c>
      <c r="AO49" s="502">
        <f>G49*1</f>
        <v>0</v>
      </c>
      <c r="AP49" s="502">
        <f>G49*(1-1)</f>
        <v>0</v>
      </c>
      <c r="AQ49" s="504" t="s">
        <v>301</v>
      </c>
      <c r="AV49" s="502">
        <f>AW49+AX49</f>
        <v>0</v>
      </c>
      <c r="AW49" s="502">
        <f>F49*AO49</f>
        <v>0</v>
      </c>
      <c r="AX49" s="502">
        <f>F49*AP49</f>
        <v>0</v>
      </c>
      <c r="AY49" s="504" t="s">
        <v>302</v>
      </c>
      <c r="AZ49" s="504" t="s">
        <v>394</v>
      </c>
      <c r="BA49" s="485" t="s">
        <v>374</v>
      </c>
      <c r="BC49" s="502">
        <f>AW49+AX49</f>
        <v>0</v>
      </c>
      <c r="BD49" s="502">
        <f>G49/(100-BE49)*100</f>
        <v>0</v>
      </c>
      <c r="BE49" s="502">
        <v>0</v>
      </c>
      <c r="BF49" s="502">
        <f>49</f>
        <v>49</v>
      </c>
      <c r="BH49" s="502">
        <f>F49*AO49</f>
        <v>0</v>
      </c>
      <c r="BI49" s="502">
        <f>F49*AP49</f>
        <v>0</v>
      </c>
      <c r="BJ49" s="502">
        <f>F49*G49</f>
        <v>0</v>
      </c>
      <c r="BK49" s="502"/>
      <c r="BL49" s="502"/>
      <c r="BW49" s="502">
        <v>21</v>
      </c>
    </row>
    <row r="50" spans="1:11" ht="27" customHeight="1">
      <c r="A50" s="505"/>
      <c r="B50" s="506" t="s">
        <v>220</v>
      </c>
      <c r="C50" s="693" t="s">
        <v>1353</v>
      </c>
      <c r="D50" s="694"/>
      <c r="E50" s="694"/>
      <c r="F50" s="694"/>
      <c r="G50" s="694"/>
      <c r="H50" s="694"/>
      <c r="I50" s="694"/>
      <c r="J50" s="694"/>
      <c r="K50" s="695"/>
    </row>
    <row r="51" spans="1:75" ht="13.5" customHeight="1">
      <c r="A51" s="462" t="s">
        <v>286</v>
      </c>
      <c r="B51" s="463" t="s">
        <v>1342</v>
      </c>
      <c r="C51" s="649" t="s">
        <v>1354</v>
      </c>
      <c r="D51" s="641"/>
      <c r="E51" s="463" t="s">
        <v>267</v>
      </c>
      <c r="F51" s="502">
        <v>1</v>
      </c>
      <c r="G51" s="502">
        <v>0</v>
      </c>
      <c r="H51" s="502">
        <f>F51*AO51</f>
        <v>0</v>
      </c>
      <c r="I51" s="502">
        <f>F51*AP51</f>
        <v>0</v>
      </c>
      <c r="J51" s="502">
        <f>F51*G51</f>
        <v>0</v>
      </c>
      <c r="K51" s="503" t="s">
        <v>262</v>
      </c>
      <c r="Z51" s="502">
        <f>IF(AQ51="5",BJ51,0)</f>
        <v>0</v>
      </c>
      <c r="AB51" s="502">
        <f>IF(AQ51="1",BH51,0)</f>
        <v>0</v>
      </c>
      <c r="AC51" s="502">
        <f>IF(AQ51="1",BI51,0)</f>
        <v>0</v>
      </c>
      <c r="AD51" s="502">
        <f>IF(AQ51="7",BH51,0)</f>
        <v>0</v>
      </c>
      <c r="AE51" s="502">
        <f>IF(AQ51="7",BI51,0)</f>
        <v>0</v>
      </c>
      <c r="AF51" s="502">
        <f>IF(AQ51="2",BH51,0)</f>
        <v>0</v>
      </c>
      <c r="AG51" s="502">
        <f>IF(AQ51="2",BI51,0)</f>
        <v>0</v>
      </c>
      <c r="AH51" s="502">
        <f>IF(AQ51="0",BJ51,0)</f>
        <v>0</v>
      </c>
      <c r="AI51" s="485" t="s">
        <v>371</v>
      </c>
      <c r="AJ51" s="502">
        <f>IF(AN51=0,J51,0)</f>
        <v>0</v>
      </c>
      <c r="AK51" s="502">
        <f>IF(AN51=15,J51,0)</f>
        <v>0</v>
      </c>
      <c r="AL51" s="502">
        <f>IF(AN51=21,J51,0)</f>
        <v>0</v>
      </c>
      <c r="AN51" s="502">
        <v>21</v>
      </c>
      <c r="AO51" s="502">
        <f>G51*1</f>
        <v>0</v>
      </c>
      <c r="AP51" s="502">
        <f>G51*(1-1)</f>
        <v>0</v>
      </c>
      <c r="AQ51" s="504" t="s">
        <v>301</v>
      </c>
      <c r="AV51" s="502">
        <f>AW51+AX51</f>
        <v>0</v>
      </c>
      <c r="AW51" s="502">
        <f>F51*AO51</f>
        <v>0</v>
      </c>
      <c r="AX51" s="502">
        <f>F51*AP51</f>
        <v>0</v>
      </c>
      <c r="AY51" s="504" t="s">
        <v>302</v>
      </c>
      <c r="AZ51" s="504" t="s">
        <v>394</v>
      </c>
      <c r="BA51" s="485" t="s">
        <v>374</v>
      </c>
      <c r="BC51" s="502">
        <f>AW51+AX51</f>
        <v>0</v>
      </c>
      <c r="BD51" s="502">
        <f>G51/(100-BE51)*100</f>
        <v>0</v>
      </c>
      <c r="BE51" s="502">
        <v>0</v>
      </c>
      <c r="BF51" s="502">
        <f>51</f>
        <v>51</v>
      </c>
      <c r="BH51" s="502">
        <f>F51*AO51</f>
        <v>0</v>
      </c>
      <c r="BI51" s="502">
        <f>F51*AP51</f>
        <v>0</v>
      </c>
      <c r="BJ51" s="502">
        <f>F51*G51</f>
        <v>0</v>
      </c>
      <c r="BK51" s="502"/>
      <c r="BL51" s="502"/>
      <c r="BW51" s="502">
        <v>21</v>
      </c>
    </row>
    <row r="52" spans="1:11" ht="27" customHeight="1">
      <c r="A52" s="505"/>
      <c r="B52" s="506" t="s">
        <v>220</v>
      </c>
      <c r="C52" s="693" t="s">
        <v>1355</v>
      </c>
      <c r="D52" s="694"/>
      <c r="E52" s="694"/>
      <c r="F52" s="694"/>
      <c r="G52" s="694"/>
      <c r="H52" s="694"/>
      <c r="I52" s="694"/>
      <c r="J52" s="694"/>
      <c r="K52" s="695"/>
    </row>
    <row r="53" spans="1:75" ht="13.5" customHeight="1">
      <c r="A53" s="462" t="s">
        <v>289</v>
      </c>
      <c r="B53" s="463" t="s">
        <v>499</v>
      </c>
      <c r="C53" s="649" t="s">
        <v>1356</v>
      </c>
      <c r="D53" s="641"/>
      <c r="E53" s="463" t="s">
        <v>51</v>
      </c>
      <c r="F53" s="502">
        <v>1</v>
      </c>
      <c r="G53" s="502">
        <v>0</v>
      </c>
      <c r="H53" s="502">
        <f>F53*AO53</f>
        <v>0</v>
      </c>
      <c r="I53" s="502">
        <f>F53*AP53</f>
        <v>0</v>
      </c>
      <c r="J53" s="502">
        <f>F53*G53</f>
        <v>0</v>
      </c>
      <c r="K53" s="503" t="s">
        <v>180</v>
      </c>
      <c r="Z53" s="502">
        <f>IF(AQ53="5",BJ53,0)</f>
        <v>0</v>
      </c>
      <c r="AB53" s="502">
        <f>IF(AQ53="1",BH53,0)</f>
        <v>0</v>
      </c>
      <c r="AC53" s="502">
        <f>IF(AQ53="1",BI53,0)</f>
        <v>0</v>
      </c>
      <c r="AD53" s="502">
        <f>IF(AQ53="7",BH53,0)</f>
        <v>0</v>
      </c>
      <c r="AE53" s="502">
        <f>IF(AQ53="7",BI53,0)</f>
        <v>0</v>
      </c>
      <c r="AF53" s="502">
        <f>IF(AQ53="2",BH53,0)</f>
        <v>0</v>
      </c>
      <c r="AG53" s="502">
        <f>IF(AQ53="2",BI53,0)</f>
        <v>0</v>
      </c>
      <c r="AH53" s="502">
        <f>IF(AQ53="0",BJ53,0)</f>
        <v>0</v>
      </c>
      <c r="AI53" s="485" t="s">
        <v>371</v>
      </c>
      <c r="AJ53" s="502">
        <f>IF(AN53=0,J53,0)</f>
        <v>0</v>
      </c>
      <c r="AK53" s="502">
        <f>IF(AN53=15,J53,0)</f>
        <v>0</v>
      </c>
      <c r="AL53" s="502">
        <f>IF(AN53=21,J53,0)</f>
        <v>0</v>
      </c>
      <c r="AN53" s="502">
        <v>21</v>
      </c>
      <c r="AO53" s="502">
        <f>G53*1</f>
        <v>0</v>
      </c>
      <c r="AP53" s="502">
        <f>G53*(1-1)</f>
        <v>0</v>
      </c>
      <c r="AQ53" s="504" t="s">
        <v>301</v>
      </c>
      <c r="AV53" s="502">
        <f>AW53+AX53</f>
        <v>0</v>
      </c>
      <c r="AW53" s="502">
        <f>F53*AO53</f>
        <v>0</v>
      </c>
      <c r="AX53" s="502">
        <f>F53*AP53</f>
        <v>0</v>
      </c>
      <c r="AY53" s="504" t="s">
        <v>302</v>
      </c>
      <c r="AZ53" s="504" t="s">
        <v>394</v>
      </c>
      <c r="BA53" s="485" t="s">
        <v>374</v>
      </c>
      <c r="BC53" s="502">
        <f>AW53+AX53</f>
        <v>0</v>
      </c>
      <c r="BD53" s="502">
        <f>G53/(100-BE53)*100</f>
        <v>0</v>
      </c>
      <c r="BE53" s="502">
        <v>0</v>
      </c>
      <c r="BF53" s="502">
        <f>53</f>
        <v>53</v>
      </c>
      <c r="BH53" s="502">
        <f>F53*AO53</f>
        <v>0</v>
      </c>
      <c r="BI53" s="502">
        <f>F53*AP53</f>
        <v>0</v>
      </c>
      <c r="BJ53" s="502">
        <f>F53*G53</f>
        <v>0</v>
      </c>
      <c r="BK53" s="502"/>
      <c r="BL53" s="502"/>
      <c r="BW53" s="502">
        <v>21</v>
      </c>
    </row>
    <row r="54" spans="1:75" ht="13.5" customHeight="1">
      <c r="A54" s="462" t="s">
        <v>296</v>
      </c>
      <c r="B54" s="463" t="s">
        <v>1357</v>
      </c>
      <c r="C54" s="649" t="s">
        <v>1358</v>
      </c>
      <c r="D54" s="641"/>
      <c r="E54" s="463" t="s">
        <v>267</v>
      </c>
      <c r="F54" s="502">
        <v>40</v>
      </c>
      <c r="G54" s="502">
        <v>0</v>
      </c>
      <c r="H54" s="502">
        <f>F54*AO54</f>
        <v>0</v>
      </c>
      <c r="I54" s="502">
        <f>F54*AP54</f>
        <v>0</v>
      </c>
      <c r="J54" s="502">
        <f>F54*G54</f>
        <v>0</v>
      </c>
      <c r="K54" s="503" t="s">
        <v>262</v>
      </c>
      <c r="Z54" s="502">
        <f>IF(AQ54="5",BJ54,0)</f>
        <v>0</v>
      </c>
      <c r="AB54" s="502">
        <f>IF(AQ54="1",BH54,0)</f>
        <v>0</v>
      </c>
      <c r="AC54" s="502">
        <f>IF(AQ54="1",BI54,0)</f>
        <v>0</v>
      </c>
      <c r="AD54" s="502">
        <f>IF(AQ54="7",BH54,0)</f>
        <v>0</v>
      </c>
      <c r="AE54" s="502">
        <f>IF(AQ54="7",BI54,0)</f>
        <v>0</v>
      </c>
      <c r="AF54" s="502">
        <f>IF(AQ54="2",BH54,0)</f>
        <v>0</v>
      </c>
      <c r="AG54" s="502">
        <f>IF(AQ54="2",BI54,0)</f>
        <v>0</v>
      </c>
      <c r="AH54" s="502">
        <f>IF(AQ54="0",BJ54,0)</f>
        <v>0</v>
      </c>
      <c r="AI54" s="485" t="s">
        <v>371</v>
      </c>
      <c r="AJ54" s="502">
        <f>IF(AN54=0,J54,0)</f>
        <v>0</v>
      </c>
      <c r="AK54" s="502">
        <f>IF(AN54=15,J54,0)</f>
        <v>0</v>
      </c>
      <c r="AL54" s="502">
        <f>IF(AN54=21,J54,0)</f>
        <v>0</v>
      </c>
      <c r="AN54" s="502">
        <v>21</v>
      </c>
      <c r="AO54" s="502">
        <f>G54*1</f>
        <v>0</v>
      </c>
      <c r="AP54" s="502">
        <f>G54*(1-1)</f>
        <v>0</v>
      </c>
      <c r="AQ54" s="504" t="s">
        <v>301</v>
      </c>
      <c r="AV54" s="502">
        <f>AW54+AX54</f>
        <v>0</v>
      </c>
      <c r="AW54" s="502">
        <f>F54*AO54</f>
        <v>0</v>
      </c>
      <c r="AX54" s="502">
        <f>F54*AP54</f>
        <v>0</v>
      </c>
      <c r="AY54" s="504" t="s">
        <v>302</v>
      </c>
      <c r="AZ54" s="504" t="s">
        <v>394</v>
      </c>
      <c r="BA54" s="485" t="s">
        <v>374</v>
      </c>
      <c r="BC54" s="502">
        <f>AW54+AX54</f>
        <v>0</v>
      </c>
      <c r="BD54" s="502">
        <f>G54/(100-BE54)*100</f>
        <v>0</v>
      </c>
      <c r="BE54" s="502">
        <v>0</v>
      </c>
      <c r="BF54" s="502">
        <f>54</f>
        <v>54</v>
      </c>
      <c r="BH54" s="502">
        <f>F54*AO54</f>
        <v>0</v>
      </c>
      <c r="BI54" s="502">
        <f>F54*AP54</f>
        <v>0</v>
      </c>
      <c r="BJ54" s="502">
        <f>F54*G54</f>
        <v>0</v>
      </c>
      <c r="BK54" s="502"/>
      <c r="BL54" s="502"/>
      <c r="BW54" s="502">
        <v>21</v>
      </c>
    </row>
    <row r="55" spans="1:11" ht="40.5" customHeight="1">
      <c r="A55" s="505"/>
      <c r="B55" s="506" t="s">
        <v>220</v>
      </c>
      <c r="C55" s="693" t="s">
        <v>1359</v>
      </c>
      <c r="D55" s="694"/>
      <c r="E55" s="694"/>
      <c r="F55" s="694"/>
      <c r="G55" s="694"/>
      <c r="H55" s="694"/>
      <c r="I55" s="694"/>
      <c r="J55" s="694"/>
      <c r="K55" s="695"/>
    </row>
    <row r="56" spans="1:75" ht="13.5" customHeight="1">
      <c r="A56" s="462" t="s">
        <v>299</v>
      </c>
      <c r="B56" s="463" t="s">
        <v>1357</v>
      </c>
      <c r="C56" s="649" t="s">
        <v>1360</v>
      </c>
      <c r="D56" s="641"/>
      <c r="E56" s="463" t="s">
        <v>267</v>
      </c>
      <c r="F56" s="502">
        <v>11</v>
      </c>
      <c r="G56" s="502">
        <v>0</v>
      </c>
      <c r="H56" s="502">
        <f>F56*AO56</f>
        <v>0</v>
      </c>
      <c r="I56" s="502">
        <f>F56*AP56</f>
        <v>0</v>
      </c>
      <c r="J56" s="502">
        <f>F56*G56</f>
        <v>0</v>
      </c>
      <c r="K56" s="503" t="s">
        <v>262</v>
      </c>
      <c r="Z56" s="502">
        <f>IF(AQ56="5",BJ56,0)</f>
        <v>0</v>
      </c>
      <c r="AB56" s="502">
        <f>IF(AQ56="1",BH56,0)</f>
        <v>0</v>
      </c>
      <c r="AC56" s="502">
        <f>IF(AQ56="1",BI56,0)</f>
        <v>0</v>
      </c>
      <c r="AD56" s="502">
        <f>IF(AQ56="7",BH56,0)</f>
        <v>0</v>
      </c>
      <c r="AE56" s="502">
        <f>IF(AQ56="7",BI56,0)</f>
        <v>0</v>
      </c>
      <c r="AF56" s="502">
        <f>IF(AQ56="2",BH56,0)</f>
        <v>0</v>
      </c>
      <c r="AG56" s="502">
        <f>IF(AQ56="2",BI56,0)</f>
        <v>0</v>
      </c>
      <c r="AH56" s="502">
        <f>IF(AQ56="0",BJ56,0)</f>
        <v>0</v>
      </c>
      <c r="AI56" s="485" t="s">
        <v>371</v>
      </c>
      <c r="AJ56" s="502">
        <f>IF(AN56=0,J56,0)</f>
        <v>0</v>
      </c>
      <c r="AK56" s="502">
        <f>IF(AN56=15,J56,0)</f>
        <v>0</v>
      </c>
      <c r="AL56" s="502">
        <f>IF(AN56=21,J56,0)</f>
        <v>0</v>
      </c>
      <c r="AN56" s="502">
        <v>21</v>
      </c>
      <c r="AO56" s="502">
        <f>G56*1</f>
        <v>0</v>
      </c>
      <c r="AP56" s="502">
        <f>G56*(1-1)</f>
        <v>0</v>
      </c>
      <c r="AQ56" s="504" t="s">
        <v>301</v>
      </c>
      <c r="AV56" s="502">
        <f>AW56+AX56</f>
        <v>0</v>
      </c>
      <c r="AW56" s="502">
        <f>F56*AO56</f>
        <v>0</v>
      </c>
      <c r="AX56" s="502">
        <f>F56*AP56</f>
        <v>0</v>
      </c>
      <c r="AY56" s="504" t="s">
        <v>302</v>
      </c>
      <c r="AZ56" s="504" t="s">
        <v>394</v>
      </c>
      <c r="BA56" s="485" t="s">
        <v>374</v>
      </c>
      <c r="BC56" s="502">
        <f>AW56+AX56</f>
        <v>0</v>
      </c>
      <c r="BD56" s="502">
        <f>G56/(100-BE56)*100</f>
        <v>0</v>
      </c>
      <c r="BE56" s="502">
        <v>0</v>
      </c>
      <c r="BF56" s="502">
        <f>56</f>
        <v>56</v>
      </c>
      <c r="BH56" s="502">
        <f>F56*AO56</f>
        <v>0</v>
      </c>
      <c r="BI56" s="502">
        <f>F56*AP56</f>
        <v>0</v>
      </c>
      <c r="BJ56" s="502">
        <f>F56*G56</f>
        <v>0</v>
      </c>
      <c r="BK56" s="502"/>
      <c r="BL56" s="502"/>
      <c r="BW56" s="502">
        <v>21</v>
      </c>
    </row>
    <row r="57" spans="1:11" ht="40.5" customHeight="1">
      <c r="A57" s="505"/>
      <c r="B57" s="506" t="s">
        <v>220</v>
      </c>
      <c r="C57" s="693" t="s">
        <v>1361</v>
      </c>
      <c r="D57" s="694"/>
      <c r="E57" s="694"/>
      <c r="F57" s="694"/>
      <c r="G57" s="694"/>
      <c r="H57" s="694"/>
      <c r="I57" s="694"/>
      <c r="J57" s="694"/>
      <c r="K57" s="695"/>
    </row>
    <row r="58" spans="1:75" ht="13.5" customHeight="1">
      <c r="A58" s="462" t="s">
        <v>300</v>
      </c>
      <c r="B58" s="463" t="s">
        <v>1357</v>
      </c>
      <c r="C58" s="649" t="s">
        <v>1362</v>
      </c>
      <c r="D58" s="641"/>
      <c r="E58" s="463" t="s">
        <v>267</v>
      </c>
      <c r="F58" s="502">
        <v>1</v>
      </c>
      <c r="G58" s="502">
        <v>0</v>
      </c>
      <c r="H58" s="502">
        <f>F58*AO58</f>
        <v>0</v>
      </c>
      <c r="I58" s="502">
        <f>F58*AP58</f>
        <v>0</v>
      </c>
      <c r="J58" s="502">
        <f>F58*G58</f>
        <v>0</v>
      </c>
      <c r="K58" s="503" t="s">
        <v>262</v>
      </c>
      <c r="Z58" s="502">
        <f>IF(AQ58="5",BJ58,0)</f>
        <v>0</v>
      </c>
      <c r="AB58" s="502">
        <f>IF(AQ58="1",BH58,0)</f>
        <v>0</v>
      </c>
      <c r="AC58" s="502">
        <f>IF(AQ58="1",BI58,0)</f>
        <v>0</v>
      </c>
      <c r="AD58" s="502">
        <f>IF(AQ58="7",BH58,0)</f>
        <v>0</v>
      </c>
      <c r="AE58" s="502">
        <f>IF(AQ58="7",BI58,0)</f>
        <v>0</v>
      </c>
      <c r="AF58" s="502">
        <f>IF(AQ58="2",BH58,0)</f>
        <v>0</v>
      </c>
      <c r="AG58" s="502">
        <f>IF(AQ58="2",BI58,0)</f>
        <v>0</v>
      </c>
      <c r="AH58" s="502">
        <f>IF(AQ58="0",BJ58,0)</f>
        <v>0</v>
      </c>
      <c r="AI58" s="485" t="s">
        <v>371</v>
      </c>
      <c r="AJ58" s="502">
        <f>IF(AN58=0,J58,0)</f>
        <v>0</v>
      </c>
      <c r="AK58" s="502">
        <f>IF(AN58=15,J58,0)</f>
        <v>0</v>
      </c>
      <c r="AL58" s="502">
        <f>IF(AN58=21,J58,0)</f>
        <v>0</v>
      </c>
      <c r="AN58" s="502">
        <v>21</v>
      </c>
      <c r="AO58" s="502">
        <f>G58*1</f>
        <v>0</v>
      </c>
      <c r="AP58" s="502">
        <f>G58*(1-1)</f>
        <v>0</v>
      </c>
      <c r="AQ58" s="504" t="s">
        <v>301</v>
      </c>
      <c r="AV58" s="502">
        <f>AW58+AX58</f>
        <v>0</v>
      </c>
      <c r="AW58" s="502">
        <f>F58*AO58</f>
        <v>0</v>
      </c>
      <c r="AX58" s="502">
        <f>F58*AP58</f>
        <v>0</v>
      </c>
      <c r="AY58" s="504" t="s">
        <v>302</v>
      </c>
      <c r="AZ58" s="504" t="s">
        <v>394</v>
      </c>
      <c r="BA58" s="485" t="s">
        <v>374</v>
      </c>
      <c r="BC58" s="502">
        <f>AW58+AX58</f>
        <v>0</v>
      </c>
      <c r="BD58" s="502">
        <f>G58/(100-BE58)*100</f>
        <v>0</v>
      </c>
      <c r="BE58" s="502">
        <v>0</v>
      </c>
      <c r="BF58" s="502">
        <f>58</f>
        <v>58</v>
      </c>
      <c r="BH58" s="502">
        <f>F58*AO58</f>
        <v>0</v>
      </c>
      <c r="BI58" s="502">
        <f>F58*AP58</f>
        <v>0</v>
      </c>
      <c r="BJ58" s="502">
        <f>F58*G58</f>
        <v>0</v>
      </c>
      <c r="BK58" s="502"/>
      <c r="BL58" s="502"/>
      <c r="BW58" s="502">
        <v>21</v>
      </c>
    </row>
    <row r="59" spans="1:11" ht="94.5" customHeight="1">
      <c r="A59" s="505"/>
      <c r="B59" s="506" t="s">
        <v>220</v>
      </c>
      <c r="C59" s="693" t="s">
        <v>1363</v>
      </c>
      <c r="D59" s="694"/>
      <c r="E59" s="694"/>
      <c r="F59" s="694"/>
      <c r="G59" s="694"/>
      <c r="H59" s="694"/>
      <c r="I59" s="694"/>
      <c r="J59" s="694"/>
      <c r="K59" s="695"/>
    </row>
    <row r="60" spans="1:75" ht="13.5" customHeight="1">
      <c r="A60" s="464" t="s">
        <v>304</v>
      </c>
      <c r="B60" s="465" t="s">
        <v>1364</v>
      </c>
      <c r="C60" s="696" t="s">
        <v>1365</v>
      </c>
      <c r="D60" s="654"/>
      <c r="E60" s="465" t="s">
        <v>51</v>
      </c>
      <c r="F60" s="507">
        <v>1</v>
      </c>
      <c r="G60" s="507">
        <v>0</v>
      </c>
      <c r="H60" s="507">
        <f>F60*AO60</f>
        <v>0</v>
      </c>
      <c r="I60" s="507">
        <f>F60*AP60</f>
        <v>0</v>
      </c>
      <c r="J60" s="507">
        <f>F60*G60</f>
        <v>0</v>
      </c>
      <c r="K60" s="508" t="s">
        <v>180</v>
      </c>
      <c r="Z60" s="502">
        <f>IF(AQ60="5",BJ60,0)</f>
        <v>0</v>
      </c>
      <c r="AB60" s="502">
        <f>IF(AQ60="1",BH60,0)</f>
        <v>0</v>
      </c>
      <c r="AC60" s="502">
        <f>IF(AQ60="1",BI60,0)</f>
        <v>0</v>
      </c>
      <c r="AD60" s="502">
        <f>IF(AQ60="7",BH60,0)</f>
        <v>0</v>
      </c>
      <c r="AE60" s="502">
        <f>IF(AQ60="7",BI60,0)</f>
        <v>0</v>
      </c>
      <c r="AF60" s="502">
        <f>IF(AQ60="2",BH60,0)</f>
        <v>0</v>
      </c>
      <c r="AG60" s="502">
        <f>IF(AQ60="2",BI60,0)</f>
        <v>0</v>
      </c>
      <c r="AH60" s="502">
        <f>IF(AQ60="0",BJ60,0)</f>
        <v>0</v>
      </c>
      <c r="AI60" s="485" t="s">
        <v>371</v>
      </c>
      <c r="AJ60" s="502">
        <f>IF(AN60=0,J60,0)</f>
        <v>0</v>
      </c>
      <c r="AK60" s="502">
        <f>IF(AN60=15,J60,0)</f>
        <v>0</v>
      </c>
      <c r="AL60" s="502">
        <f>IF(AN60=21,J60,0)</f>
        <v>0</v>
      </c>
      <c r="AN60" s="502">
        <v>21</v>
      </c>
      <c r="AO60" s="502">
        <f>G60*1</f>
        <v>0</v>
      </c>
      <c r="AP60" s="502">
        <f>G60*(1-1)</f>
        <v>0</v>
      </c>
      <c r="AQ60" s="504" t="s">
        <v>301</v>
      </c>
      <c r="AV60" s="502">
        <f>AW60+AX60</f>
        <v>0</v>
      </c>
      <c r="AW60" s="502">
        <f>F60*AO60</f>
        <v>0</v>
      </c>
      <c r="AX60" s="502">
        <f>F60*AP60</f>
        <v>0</v>
      </c>
      <c r="AY60" s="504" t="s">
        <v>302</v>
      </c>
      <c r="AZ60" s="504" t="s">
        <v>394</v>
      </c>
      <c r="BA60" s="485" t="s">
        <v>374</v>
      </c>
      <c r="BC60" s="502">
        <f>AW60+AX60</f>
        <v>0</v>
      </c>
      <c r="BD60" s="502">
        <f>G60/(100-BE60)*100</f>
        <v>0</v>
      </c>
      <c r="BE60" s="502">
        <v>0</v>
      </c>
      <c r="BF60" s="502">
        <f>60</f>
        <v>60</v>
      </c>
      <c r="BH60" s="502">
        <f>F60*AO60</f>
        <v>0</v>
      </c>
      <c r="BI60" s="502">
        <f>F60*AP60</f>
        <v>0</v>
      </c>
      <c r="BJ60" s="502">
        <f>F60*G60</f>
        <v>0</v>
      </c>
      <c r="BK60" s="502"/>
      <c r="BL60" s="502"/>
      <c r="BW60" s="502">
        <v>21</v>
      </c>
    </row>
    <row r="61" spans="8:10" ht="15" customHeight="1">
      <c r="H61" s="644" t="s">
        <v>401</v>
      </c>
      <c r="I61" s="644"/>
      <c r="J61" s="509">
        <f>J13+J21+J25+J28+J30+J35+J37+J40+J42</f>
        <v>0</v>
      </c>
    </row>
    <row r="62" ht="15" customHeight="1">
      <c r="A62" s="479" t="s">
        <v>220</v>
      </c>
    </row>
    <row r="63" spans="1:11" ht="12.75" customHeight="1">
      <c r="A63" s="649" t="s">
        <v>180</v>
      </c>
      <c r="B63" s="641"/>
      <c r="C63" s="641"/>
      <c r="D63" s="641"/>
      <c r="E63" s="641"/>
      <c r="F63" s="641"/>
      <c r="G63" s="641"/>
      <c r="H63" s="641"/>
      <c r="I63" s="641"/>
      <c r="J63" s="641"/>
      <c r="K63" s="641"/>
    </row>
  </sheetData>
  <mergeCells count="79">
    <mergeCell ref="A63:K63"/>
    <mergeCell ref="C51:D51"/>
    <mergeCell ref="C52:K52"/>
    <mergeCell ref="C53:D53"/>
    <mergeCell ref="C54:D54"/>
    <mergeCell ref="C55:K55"/>
    <mergeCell ref="C56:D56"/>
    <mergeCell ref="C57:K57"/>
    <mergeCell ref="C58:D58"/>
    <mergeCell ref="C59:K59"/>
    <mergeCell ref="C60:D60"/>
    <mergeCell ref="H61:I61"/>
    <mergeCell ref="C50:K50"/>
    <mergeCell ref="C39:D39"/>
    <mergeCell ref="C40:D40"/>
    <mergeCell ref="C41:D41"/>
    <mergeCell ref="C42:D42"/>
    <mergeCell ref="C43:D43"/>
    <mergeCell ref="C44:K44"/>
    <mergeCell ref="C45:D45"/>
    <mergeCell ref="C46:K46"/>
    <mergeCell ref="C47:D47"/>
    <mergeCell ref="C48:K48"/>
    <mergeCell ref="C49:D49"/>
    <mergeCell ref="C38:D38"/>
    <mergeCell ref="C27:D27"/>
    <mergeCell ref="C28:D28"/>
    <mergeCell ref="C29:D29"/>
    <mergeCell ref="C30:D30"/>
    <mergeCell ref="C31:D31"/>
    <mergeCell ref="C32:K32"/>
    <mergeCell ref="C33:D33"/>
    <mergeCell ref="C34:D34"/>
    <mergeCell ref="C35:D35"/>
    <mergeCell ref="C36:D36"/>
    <mergeCell ref="C37:D37"/>
    <mergeCell ref="H10:J10"/>
    <mergeCell ref="C11:D11"/>
    <mergeCell ref="C12:D12"/>
    <mergeCell ref="C13:D13"/>
    <mergeCell ref="C26:D26"/>
    <mergeCell ref="C15:D15"/>
    <mergeCell ref="C16:K16"/>
    <mergeCell ref="C17:D17"/>
    <mergeCell ref="C18:K18"/>
    <mergeCell ref="C19:D19"/>
    <mergeCell ref="C20:K20"/>
    <mergeCell ref="C21:D21"/>
    <mergeCell ref="C22:D22"/>
    <mergeCell ref="C23:D23"/>
    <mergeCell ref="C24:D24"/>
    <mergeCell ref="C25:D25"/>
    <mergeCell ref="C14:D14"/>
    <mergeCell ref="A8:B9"/>
    <mergeCell ref="C8:D9"/>
    <mergeCell ref="E8:F9"/>
    <mergeCell ref="G8:G9"/>
    <mergeCell ref="C10:D10"/>
    <mergeCell ref="H8:H9"/>
    <mergeCell ref="I8:K9"/>
    <mergeCell ref="A6:B7"/>
    <mergeCell ref="C6:D7"/>
    <mergeCell ref="E6:F7"/>
    <mergeCell ref="G6:G7"/>
    <mergeCell ref="H6:H7"/>
    <mergeCell ref="I6:K7"/>
    <mergeCell ref="I4:K5"/>
    <mergeCell ref="A1:K1"/>
    <mergeCell ref="A2:B3"/>
    <mergeCell ref="C2:D3"/>
    <mergeCell ref="E2:F3"/>
    <mergeCell ref="G2:G3"/>
    <mergeCell ref="H2:H3"/>
    <mergeCell ref="I2:K3"/>
    <mergeCell ref="A4:B5"/>
    <mergeCell ref="C4:D5"/>
    <mergeCell ref="E4:F5"/>
    <mergeCell ref="G4:G5"/>
    <mergeCell ref="H4:H5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Krejčiřík</dc:creator>
  <cp:keywords/>
  <dc:description/>
  <cp:lastModifiedBy>Přemysl Krejčiřík</cp:lastModifiedBy>
  <dcterms:created xsi:type="dcterms:W3CDTF">2023-12-19T07:24:46Z</dcterms:created>
  <dcterms:modified xsi:type="dcterms:W3CDTF">2024-03-06T14:19:45Z</dcterms:modified>
  <cp:category/>
  <cp:version/>
  <cp:contentType/>
  <cp:contentStatus/>
</cp:coreProperties>
</file>