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rlovy Vary\!DPS Sady Karla IV\_ PDF tisk DSP_KV\Sady Karla IV-DPS\Stavebni prace\03 ROZPOCTY + PRILOHY\"/>
    </mc:Choice>
  </mc:AlternateContent>
  <xr:revisionPtr revIDLastSave="0" documentId="13_ncr:1_{C5A3DA3B-A19F-40FF-A82B-A8B5970EC557}" xr6:coauthVersionLast="47" xr6:coauthVersionMax="47" xr10:uidLastSave="{00000000-0000-0000-0000-000000000000}"/>
  <bookViews>
    <workbookView xWindow="-120" yWindow="-120" windowWidth="29040" windowHeight="17640" xr2:uid="{6C863341-ABB5-487F-8EBD-3E311C5FC9D2}"/>
  </bookViews>
  <sheets>
    <sheet name="Souhrnný rozpočet" sheetId="1" r:id="rId1"/>
    <sheet name="SO01_mlat_KL" sheetId="30" r:id="rId2"/>
    <sheet name="SO01_mlat" sheetId="31" r:id="rId3"/>
    <sheet name="SO01A_kostky SO 101" sheetId="23" r:id="rId4"/>
    <sheet name="VRN - Vedlejší rozpočtové..." sheetId="27" r:id="rId5"/>
    <sheet name="SO01A_kostky Pokyny " sheetId="21" r:id="rId6"/>
    <sheet name="SO03_mobiliář_KL" sheetId="32" r:id="rId7"/>
    <sheet name="SO03_mobiliář" sheetId="33" r:id="rId8"/>
    <sheet name="SO04_Osvětlení" sheetId="16" r:id="rId9"/>
    <sheet name="SO05_Závlaha" sheetId="17" r:id="rId10"/>
  </sheets>
  <externalReferences>
    <externalReference r:id="rId11"/>
    <externalReference r:id="rId12"/>
    <externalReference r:id="rId13"/>
  </externalReferences>
  <definedNames>
    <definedName name="_xlnm._FilterDatabase" localSheetId="3" hidden="1">'SO01A_kostky SO 101'!$C$92:$K$438</definedName>
    <definedName name="_xlnm._FilterDatabase" localSheetId="4" hidden="1">'VRN - Vedlejší rozpočtové...'!$C$89:$K$119</definedName>
    <definedName name="_xlnm.Print_Titles" localSheetId="3">'SO01A_kostky SO 101'!$92:$92</definedName>
    <definedName name="_xlnm.Print_Titles" localSheetId="9">SO05_Závlaha!$7:$7</definedName>
    <definedName name="_xlnm.Print_Titles" localSheetId="4">'VRN - Vedlejší rozpočtové...'!$89:$89</definedName>
    <definedName name="_xlnm.Print_Area" localSheetId="5">'SO01A_kostky Pokyny '!$B$2:$K$71,'SO01A_kostky Pokyny '!$B$74:$K$118,'SO01A_kostky Pokyny '!$B$121:$K$161,'SO01A_kostky Pokyny '!$B$164:$K$219</definedName>
    <definedName name="_xlnm.Print_Area" localSheetId="3">'SO01A_kostky SO 101'!$C$4:$J$41,'SO01A_kostky SO 101'!$C$47:$J$72,'SO01A_kostky SO 101'!$C$78:$K$438</definedName>
    <definedName name="_xlnm.Print_Area" localSheetId="9">SO05_Závlaha!$A$1:$H$124</definedName>
    <definedName name="_xlnm.Print_Area" localSheetId="4">'VRN - Vedlejší rozpočtové...'!$C$4:$J$41,'VRN - Vedlejší rozpočtové...'!$C$47:$J$69,'VRN - Vedlejší rozpočtové...'!$C$75:$K$119</definedName>
    <definedName name="vorn_sum">[1]VORN!$I$36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7" l="1"/>
  <c r="BJ60" i="33"/>
  <c r="BH60" i="33"/>
  <c r="BF60" i="33"/>
  <c r="BD60" i="33"/>
  <c r="AP60" i="33"/>
  <c r="I60" i="33" s="1"/>
  <c r="AO60" i="33"/>
  <c r="AK60" i="33"/>
  <c r="AJ60" i="33"/>
  <c r="AH60" i="33"/>
  <c r="AG60" i="33"/>
  <c r="AF60" i="33"/>
  <c r="AE60" i="33"/>
  <c r="AD60" i="33"/>
  <c r="AC60" i="33"/>
  <c r="AB60" i="33"/>
  <c r="Z60" i="33"/>
  <c r="J60" i="33"/>
  <c r="AL60" i="33" s="1"/>
  <c r="BJ58" i="33"/>
  <c r="AH58" i="33" s="1"/>
  <c r="BF58" i="33"/>
  <c r="BD58" i="33"/>
  <c r="AW58" i="33"/>
  <c r="AP58" i="33"/>
  <c r="AO58" i="33"/>
  <c r="BH58" i="33" s="1"/>
  <c r="AL58" i="33"/>
  <c r="AK58" i="33"/>
  <c r="AJ58" i="33"/>
  <c r="AG58" i="33"/>
  <c r="AF58" i="33"/>
  <c r="AE58" i="33"/>
  <c r="AD58" i="33"/>
  <c r="AC58" i="33"/>
  <c r="AB58" i="33"/>
  <c r="Z58" i="33"/>
  <c r="J58" i="33"/>
  <c r="H58" i="33"/>
  <c r="BJ56" i="33"/>
  <c r="AH56" i="33" s="1"/>
  <c r="BF56" i="33"/>
  <c r="BD56" i="33"/>
  <c r="AX56" i="33"/>
  <c r="AW56" i="33"/>
  <c r="BC56" i="33" s="1"/>
  <c r="AV56" i="33"/>
  <c r="AP56" i="33"/>
  <c r="BI56" i="33" s="1"/>
  <c r="AO56" i="33"/>
  <c r="BH56" i="33" s="1"/>
  <c r="AL56" i="33"/>
  <c r="AK56" i="33"/>
  <c r="AJ56" i="33"/>
  <c r="AG56" i="33"/>
  <c r="AF56" i="33"/>
  <c r="AE56" i="33"/>
  <c r="AD56" i="33"/>
  <c r="AC56" i="33"/>
  <c r="AB56" i="33"/>
  <c r="Z56" i="33"/>
  <c r="J56" i="33"/>
  <c r="I56" i="33"/>
  <c r="H56" i="33"/>
  <c r="BJ54" i="33"/>
  <c r="BH54" i="33"/>
  <c r="BF54" i="33"/>
  <c r="BD54" i="33"/>
  <c r="AX54" i="33"/>
  <c r="AW54" i="33"/>
  <c r="AP54" i="33"/>
  <c r="BI54" i="33" s="1"/>
  <c r="AO54" i="33"/>
  <c r="H54" i="33" s="1"/>
  <c r="AL54" i="33"/>
  <c r="AK54" i="33"/>
  <c r="AJ54" i="33"/>
  <c r="AH54" i="33"/>
  <c r="AG54" i="33"/>
  <c r="AF54" i="33"/>
  <c r="AE54" i="33"/>
  <c r="AD54" i="33"/>
  <c r="AC54" i="33"/>
  <c r="AB54" i="33"/>
  <c r="Z54" i="33"/>
  <c r="J54" i="33"/>
  <c r="I54" i="33"/>
  <c r="BJ53" i="33"/>
  <c r="BF53" i="33"/>
  <c r="BD53" i="33"/>
  <c r="AP53" i="33"/>
  <c r="I53" i="33" s="1"/>
  <c r="AO53" i="33"/>
  <c r="AK53" i="33"/>
  <c r="AJ53" i="33"/>
  <c r="AH53" i="33"/>
  <c r="AG53" i="33"/>
  <c r="AF53" i="33"/>
  <c r="AE53" i="33"/>
  <c r="AD53" i="33"/>
  <c r="AC53" i="33"/>
  <c r="AB53" i="33"/>
  <c r="Z53" i="33"/>
  <c r="J53" i="33"/>
  <c r="AL53" i="33" s="1"/>
  <c r="BJ51" i="33"/>
  <c r="AH51" i="33" s="1"/>
  <c r="BF51" i="33"/>
  <c r="BD51" i="33"/>
  <c r="AW51" i="33"/>
  <c r="AP51" i="33"/>
  <c r="AO51" i="33"/>
  <c r="BH51" i="33" s="1"/>
  <c r="AL51" i="33"/>
  <c r="AK51" i="33"/>
  <c r="AJ51" i="33"/>
  <c r="AG51" i="33"/>
  <c r="AF51" i="33"/>
  <c r="AE51" i="33"/>
  <c r="AD51" i="33"/>
  <c r="AC51" i="33"/>
  <c r="AB51" i="33"/>
  <c r="Z51" i="33"/>
  <c r="J51" i="33"/>
  <c r="H51" i="33"/>
  <c r="BJ49" i="33"/>
  <c r="AH49" i="33" s="1"/>
  <c r="BF49" i="33"/>
  <c r="BD49" i="33"/>
  <c r="AX49" i="33"/>
  <c r="AW49" i="33"/>
  <c r="BC49" i="33" s="1"/>
  <c r="AV49" i="33"/>
  <c r="AP49" i="33"/>
  <c r="BI49" i="33" s="1"/>
  <c r="AO49" i="33"/>
  <c r="BH49" i="33" s="1"/>
  <c r="AL49" i="33"/>
  <c r="AK49" i="33"/>
  <c r="AJ49" i="33"/>
  <c r="AG49" i="33"/>
  <c r="AF49" i="33"/>
  <c r="AE49" i="33"/>
  <c r="AD49" i="33"/>
  <c r="AC49" i="33"/>
  <c r="AB49" i="33"/>
  <c r="Z49" i="33"/>
  <c r="J49" i="33"/>
  <c r="I49" i="33"/>
  <c r="H49" i="33"/>
  <c r="BJ47" i="33"/>
  <c r="BH47" i="33"/>
  <c r="BF47" i="33"/>
  <c r="BD47" i="33"/>
  <c r="AX47" i="33"/>
  <c r="AW47" i="33"/>
  <c r="AP47" i="33"/>
  <c r="BI47" i="33" s="1"/>
  <c r="AO47" i="33"/>
  <c r="H47" i="33" s="1"/>
  <c r="AL47" i="33"/>
  <c r="AK47" i="33"/>
  <c r="AJ47" i="33"/>
  <c r="AH47" i="33"/>
  <c r="AG47" i="33"/>
  <c r="AF47" i="33"/>
  <c r="AE47" i="33"/>
  <c r="AD47" i="33"/>
  <c r="AC47" i="33"/>
  <c r="AB47" i="33"/>
  <c r="Z47" i="33"/>
  <c r="J47" i="33"/>
  <c r="I47" i="33"/>
  <c r="BJ45" i="33"/>
  <c r="BI45" i="33"/>
  <c r="BF45" i="33"/>
  <c r="BD45" i="33"/>
  <c r="AP45" i="33"/>
  <c r="I45" i="33" s="1"/>
  <c r="AO45" i="33"/>
  <c r="AK45" i="33"/>
  <c r="AJ45" i="33"/>
  <c r="AH45" i="33"/>
  <c r="AG45" i="33"/>
  <c r="AF45" i="33"/>
  <c r="AE45" i="33"/>
  <c r="AD45" i="33"/>
  <c r="AC45" i="33"/>
  <c r="AB45" i="33"/>
  <c r="Z45" i="33"/>
  <c r="J45" i="33"/>
  <c r="AL45" i="33" s="1"/>
  <c r="BJ43" i="33"/>
  <c r="AH43" i="33" s="1"/>
  <c r="BI43" i="33"/>
  <c r="BF43" i="33"/>
  <c r="BD43" i="33"/>
  <c r="AW43" i="33"/>
  <c r="AP43" i="33"/>
  <c r="AO43" i="33"/>
  <c r="BH43" i="33" s="1"/>
  <c r="AL43" i="33"/>
  <c r="AK43" i="33"/>
  <c r="AJ43" i="33"/>
  <c r="AG43" i="33"/>
  <c r="AF43" i="33"/>
  <c r="AE43" i="33"/>
  <c r="AD43" i="33"/>
  <c r="AC43" i="33"/>
  <c r="AB43" i="33"/>
  <c r="Z43" i="33"/>
  <c r="J43" i="33"/>
  <c r="H43" i="33"/>
  <c r="AU42" i="33"/>
  <c r="BJ41" i="33"/>
  <c r="BI41" i="33"/>
  <c r="BF41" i="33"/>
  <c r="BD41" i="33"/>
  <c r="AP41" i="33"/>
  <c r="I41" i="33" s="1"/>
  <c r="I40" i="33" s="1"/>
  <c r="AO41" i="33"/>
  <c r="AK41" i="33"/>
  <c r="AJ41" i="33"/>
  <c r="AS40" i="33" s="1"/>
  <c r="AH41" i="33"/>
  <c r="AG41" i="33"/>
  <c r="AF41" i="33"/>
  <c r="AE41" i="33"/>
  <c r="AD41" i="33"/>
  <c r="AC41" i="33"/>
  <c r="AB41" i="33"/>
  <c r="Z41" i="33"/>
  <c r="J41" i="33"/>
  <c r="AT40" i="33"/>
  <c r="BJ38" i="33"/>
  <c r="BF38" i="33"/>
  <c r="BD38" i="33"/>
  <c r="AX38" i="33"/>
  <c r="AW38" i="33"/>
  <c r="BC38" i="33" s="1"/>
  <c r="AP38" i="33"/>
  <c r="BI38" i="33" s="1"/>
  <c r="AE38" i="33" s="1"/>
  <c r="AO38" i="33"/>
  <c r="BH38" i="33" s="1"/>
  <c r="AD38" i="33" s="1"/>
  <c r="AL38" i="33"/>
  <c r="AU37" i="33" s="1"/>
  <c r="AK38" i="33"/>
  <c r="AT37" i="33" s="1"/>
  <c r="AJ38" i="33"/>
  <c r="AH38" i="33"/>
  <c r="AG38" i="33"/>
  <c r="AF38" i="33"/>
  <c r="AC38" i="33"/>
  <c r="AB38" i="33"/>
  <c r="Z38" i="33"/>
  <c r="J38" i="33"/>
  <c r="I38" i="33"/>
  <c r="I37" i="33" s="1"/>
  <c r="H38" i="33"/>
  <c r="H37" i="33" s="1"/>
  <c r="AS37" i="33"/>
  <c r="J37" i="33"/>
  <c r="BJ36" i="33"/>
  <c r="BI36" i="33"/>
  <c r="AE36" i="33" s="1"/>
  <c r="BF36" i="33"/>
  <c r="BD36" i="33"/>
  <c r="AW36" i="33"/>
  <c r="AP36" i="33"/>
  <c r="AO36" i="33"/>
  <c r="BH36" i="33" s="1"/>
  <c r="AD36" i="33" s="1"/>
  <c r="AL36" i="33"/>
  <c r="AK36" i="33"/>
  <c r="AT35" i="33" s="1"/>
  <c r="AJ36" i="33"/>
  <c r="AS35" i="33" s="1"/>
  <c r="AH36" i="33"/>
  <c r="AG36" i="33"/>
  <c r="AF36" i="33"/>
  <c r="AC36" i="33"/>
  <c r="AB36" i="33"/>
  <c r="Z36" i="33"/>
  <c r="J36" i="33"/>
  <c r="H36" i="33"/>
  <c r="H35" i="33" s="1"/>
  <c r="AU35" i="33"/>
  <c r="J35" i="33"/>
  <c r="J34" i="33" s="1"/>
  <c r="H34" i="33"/>
  <c r="BJ33" i="33"/>
  <c r="BF33" i="33"/>
  <c r="BD33" i="33"/>
  <c r="AX33" i="33"/>
  <c r="AP33" i="33"/>
  <c r="BI33" i="33" s="1"/>
  <c r="AO33" i="33"/>
  <c r="H33" i="33" s="1"/>
  <c r="AL33" i="33"/>
  <c r="AK33" i="33"/>
  <c r="AJ33" i="33"/>
  <c r="AH33" i="33"/>
  <c r="AG33" i="33"/>
  <c r="AF33" i="33"/>
  <c r="AE33" i="33"/>
  <c r="AD33" i="33"/>
  <c r="AC33" i="33"/>
  <c r="AB33" i="33"/>
  <c r="Z33" i="33"/>
  <c r="J33" i="33"/>
  <c r="I33" i="33"/>
  <c r="BJ31" i="33"/>
  <c r="BH31" i="33"/>
  <c r="BF31" i="33"/>
  <c r="BD31" i="33"/>
  <c r="AP31" i="33"/>
  <c r="I31" i="33" s="1"/>
  <c r="I30" i="33" s="1"/>
  <c r="AO31" i="33"/>
  <c r="AK31" i="33"/>
  <c r="AJ31" i="33"/>
  <c r="AS30" i="33" s="1"/>
  <c r="AH31" i="33"/>
  <c r="AG31" i="33"/>
  <c r="AF31" i="33"/>
  <c r="AE31" i="33"/>
  <c r="AD31" i="33"/>
  <c r="AC31" i="33"/>
  <c r="AB31" i="33"/>
  <c r="Z31" i="33"/>
  <c r="J31" i="33"/>
  <c r="AT30" i="33"/>
  <c r="BJ29" i="33"/>
  <c r="BF29" i="33"/>
  <c r="BD29" i="33"/>
  <c r="AX29" i="33"/>
  <c r="AP29" i="33"/>
  <c r="BI29" i="33" s="1"/>
  <c r="AO29" i="33"/>
  <c r="H29" i="33" s="1"/>
  <c r="H28" i="33" s="1"/>
  <c r="AK29" i="33"/>
  <c r="AJ29" i="33"/>
  <c r="AH29" i="33"/>
  <c r="AG29" i="33"/>
  <c r="AF29" i="33"/>
  <c r="AE29" i="33"/>
  <c r="AD29" i="33"/>
  <c r="AC29" i="33"/>
  <c r="AB29" i="33"/>
  <c r="Z29" i="33"/>
  <c r="J29" i="33"/>
  <c r="J28" i="33" s="1"/>
  <c r="I29" i="33"/>
  <c r="AT28" i="33"/>
  <c r="AS28" i="33"/>
  <c r="I28" i="33"/>
  <c r="BJ27" i="33"/>
  <c r="BH27" i="33"/>
  <c r="AB27" i="33" s="1"/>
  <c r="BF27" i="33"/>
  <c r="BD27" i="33"/>
  <c r="AX27" i="33"/>
  <c r="AW27" i="33"/>
  <c r="BC27" i="33" s="1"/>
  <c r="AP27" i="33"/>
  <c r="BI27" i="33" s="1"/>
  <c r="AO27" i="33"/>
  <c r="H27" i="33" s="1"/>
  <c r="H25" i="33" s="1"/>
  <c r="AL27" i="33"/>
  <c r="AK27" i="33"/>
  <c r="AJ27" i="33"/>
  <c r="AH27" i="33"/>
  <c r="AG27" i="33"/>
  <c r="AF27" i="33"/>
  <c r="AE27" i="33"/>
  <c r="AD27" i="33"/>
  <c r="AC27" i="33"/>
  <c r="Z27" i="33"/>
  <c r="J27" i="33"/>
  <c r="I27" i="33"/>
  <c r="I25" i="33" s="1"/>
  <c r="I24" i="33" s="1"/>
  <c r="BJ26" i="33"/>
  <c r="BI26" i="33"/>
  <c r="BH26" i="33"/>
  <c r="AB26" i="33" s="1"/>
  <c r="BF26" i="33"/>
  <c r="BD26" i="33"/>
  <c r="AX26" i="33"/>
  <c r="AP26" i="33"/>
  <c r="AO26" i="33"/>
  <c r="H26" i="33" s="1"/>
  <c r="AL26" i="33"/>
  <c r="AK26" i="33"/>
  <c r="AJ26" i="33"/>
  <c r="AH26" i="33"/>
  <c r="AG26" i="33"/>
  <c r="AF26" i="33"/>
  <c r="AE26" i="33"/>
  <c r="AD26" i="33"/>
  <c r="AC26" i="33"/>
  <c r="Z26" i="33"/>
  <c r="J26" i="33"/>
  <c r="I26" i="33"/>
  <c r="AU25" i="33"/>
  <c r="AT25" i="33"/>
  <c r="AS25" i="33"/>
  <c r="BJ23" i="33"/>
  <c r="Z23" i="33" s="1"/>
  <c r="BI23" i="33"/>
  <c r="BF23" i="33"/>
  <c r="BD23" i="33"/>
  <c r="AW23" i="33"/>
  <c r="AV23" i="33" s="1"/>
  <c r="AP23" i="33"/>
  <c r="AX23" i="33" s="1"/>
  <c r="AO23" i="33"/>
  <c r="BH23" i="33" s="1"/>
  <c r="AL23" i="33"/>
  <c r="AK23" i="33"/>
  <c r="AJ23" i="33"/>
  <c r="AS21" i="33" s="1"/>
  <c r="AH23" i="33"/>
  <c r="AG23" i="33"/>
  <c r="AF23" i="33"/>
  <c r="AE23" i="33"/>
  <c r="AD23" i="33"/>
  <c r="AC23" i="33"/>
  <c r="AB23" i="33"/>
  <c r="J23" i="33"/>
  <c r="I23" i="33"/>
  <c r="H23" i="33"/>
  <c r="BJ22" i="33"/>
  <c r="Z22" i="33" s="1"/>
  <c r="BH22" i="33"/>
  <c r="BF22" i="33"/>
  <c r="BD22" i="33"/>
  <c r="AX22" i="33"/>
  <c r="AW22" i="33"/>
  <c r="BC22" i="33" s="1"/>
  <c r="AV22" i="33"/>
  <c r="AP22" i="33"/>
  <c r="BI22" i="33" s="1"/>
  <c r="AO22" i="33"/>
  <c r="AL22" i="33"/>
  <c r="AK22" i="33"/>
  <c r="AJ22" i="33"/>
  <c r="AH22" i="33"/>
  <c r="AG22" i="33"/>
  <c r="AF22" i="33"/>
  <c r="AE22" i="33"/>
  <c r="AD22" i="33"/>
  <c r="AC22" i="33"/>
  <c r="AB22" i="33"/>
  <c r="J22" i="33"/>
  <c r="I22" i="33"/>
  <c r="H22" i="33"/>
  <c r="AT21" i="33"/>
  <c r="J21" i="33"/>
  <c r="H21" i="33"/>
  <c r="BJ19" i="33"/>
  <c r="BF19" i="33"/>
  <c r="BD19" i="33"/>
  <c r="BC19" i="33"/>
  <c r="AW19" i="33"/>
  <c r="AP19" i="33"/>
  <c r="AX19" i="33" s="1"/>
  <c r="AV19" i="33" s="1"/>
  <c r="AO19" i="33"/>
  <c r="BH19" i="33" s="1"/>
  <c r="AB19" i="33" s="1"/>
  <c r="AL19" i="33"/>
  <c r="AK19" i="33"/>
  <c r="AJ19" i="33"/>
  <c r="AH19" i="33"/>
  <c r="AG19" i="33"/>
  <c r="AF19" i="33"/>
  <c r="AE19" i="33"/>
  <c r="AD19" i="33"/>
  <c r="Z19" i="33"/>
  <c r="J19" i="33"/>
  <c r="H19" i="33"/>
  <c r="BJ17" i="33"/>
  <c r="BH17" i="33"/>
  <c r="AB17" i="33" s="1"/>
  <c r="BF17" i="33"/>
  <c r="BD17" i="33"/>
  <c r="AX17" i="33"/>
  <c r="AW17" i="33"/>
  <c r="BC17" i="33" s="1"/>
  <c r="AP17" i="33"/>
  <c r="BI17" i="33" s="1"/>
  <c r="AO17" i="33"/>
  <c r="H17" i="33" s="1"/>
  <c r="AL17" i="33"/>
  <c r="AK17" i="33"/>
  <c r="AJ17" i="33"/>
  <c r="AH17" i="33"/>
  <c r="AG17" i="33"/>
  <c r="AF17" i="33"/>
  <c r="AE17" i="33"/>
  <c r="AD17" i="33"/>
  <c r="AC17" i="33"/>
  <c r="Z17" i="33"/>
  <c r="J17" i="33"/>
  <c r="I17" i="33"/>
  <c r="BJ15" i="33"/>
  <c r="BI15" i="33"/>
  <c r="BH15" i="33"/>
  <c r="AB15" i="33" s="1"/>
  <c r="BF15" i="33"/>
  <c r="BD15" i="33"/>
  <c r="AX15" i="33"/>
  <c r="AP15" i="33"/>
  <c r="AO15" i="33"/>
  <c r="H15" i="33" s="1"/>
  <c r="AL15" i="33"/>
  <c r="AK15" i="33"/>
  <c r="AJ15" i="33"/>
  <c r="AH15" i="33"/>
  <c r="AG15" i="33"/>
  <c r="AF15" i="33"/>
  <c r="AE15" i="33"/>
  <c r="AD15" i="33"/>
  <c r="AC15" i="33"/>
  <c r="Z15" i="33"/>
  <c r="J15" i="33"/>
  <c r="I15" i="33"/>
  <c r="BJ14" i="33"/>
  <c r="BF14" i="33"/>
  <c r="BD14" i="33"/>
  <c r="AP14" i="33"/>
  <c r="I14" i="33" s="1"/>
  <c r="AO14" i="33"/>
  <c r="AW14" i="33" s="1"/>
  <c r="AK14" i="33"/>
  <c r="AT13" i="33" s="1"/>
  <c r="AJ14" i="33"/>
  <c r="AH14" i="33"/>
  <c r="C20" i="32" s="1"/>
  <c r="AG14" i="33"/>
  <c r="AF14" i="33"/>
  <c r="AE14" i="33"/>
  <c r="AD14" i="33"/>
  <c r="C16" i="32" s="1"/>
  <c r="Z14" i="33"/>
  <c r="C21" i="32" s="1"/>
  <c r="J14" i="33"/>
  <c r="AL14" i="33" s="1"/>
  <c r="AU1" i="33"/>
  <c r="AT1" i="33"/>
  <c r="AS1" i="33"/>
  <c r="I10" i="32"/>
  <c r="F10" i="32"/>
  <c r="C10" i="32"/>
  <c r="F8" i="32"/>
  <c r="C8" i="32"/>
  <c r="F6" i="32"/>
  <c r="C6" i="32"/>
  <c r="F4" i="32"/>
  <c r="C4" i="32"/>
  <c r="F2" i="32"/>
  <c r="C2" i="32"/>
  <c r="BJ109" i="31"/>
  <c r="BH109" i="31"/>
  <c r="BF109" i="31"/>
  <c r="BD109" i="31"/>
  <c r="AP109" i="31"/>
  <c r="AO109" i="31"/>
  <c r="AK109" i="31"/>
  <c r="AJ109" i="31"/>
  <c r="AH109" i="31"/>
  <c r="AG109" i="31"/>
  <c r="AF109" i="31"/>
  <c r="AE109" i="31"/>
  <c r="AD109" i="31"/>
  <c r="AC109" i="31"/>
  <c r="AB109" i="31"/>
  <c r="Z109" i="31"/>
  <c r="J109" i="31"/>
  <c r="AL109" i="31" s="1"/>
  <c r="AU107" i="31" s="1"/>
  <c r="BJ108" i="31"/>
  <c r="AH108" i="31" s="1"/>
  <c r="BF108" i="31"/>
  <c r="BD108" i="31"/>
  <c r="AW108" i="31"/>
  <c r="AP108" i="31"/>
  <c r="AO108" i="31"/>
  <c r="BH108" i="31" s="1"/>
  <c r="AL108" i="31"/>
  <c r="AK108" i="31"/>
  <c r="AT107" i="31" s="1"/>
  <c r="AJ108" i="31"/>
  <c r="AS107" i="31" s="1"/>
  <c r="AG108" i="31"/>
  <c r="AF108" i="31"/>
  <c r="AE108" i="31"/>
  <c r="AD108" i="31"/>
  <c r="AC108" i="31"/>
  <c r="AB108" i="31"/>
  <c r="Z108" i="31"/>
  <c r="J108" i="31"/>
  <c r="H108" i="31"/>
  <c r="J107" i="31"/>
  <c r="BJ106" i="31"/>
  <c r="BH106" i="31"/>
  <c r="BF106" i="31"/>
  <c r="BD106" i="31"/>
  <c r="AX106" i="31"/>
  <c r="AP106" i="31"/>
  <c r="AO106" i="31"/>
  <c r="AK106" i="31"/>
  <c r="AJ106" i="31"/>
  <c r="AS105" i="31" s="1"/>
  <c r="AH106" i="31"/>
  <c r="AG106" i="31"/>
  <c r="AF106" i="31"/>
  <c r="AE106" i="31"/>
  <c r="AD106" i="31"/>
  <c r="AC106" i="31"/>
  <c r="AB106" i="31"/>
  <c r="Z106" i="31"/>
  <c r="J106" i="31"/>
  <c r="AT105" i="31"/>
  <c r="BJ104" i="31"/>
  <c r="BF104" i="31"/>
  <c r="BD104" i="31"/>
  <c r="AX104" i="31"/>
  <c r="AP104" i="31"/>
  <c r="BI104" i="31" s="1"/>
  <c r="AC104" i="31" s="1"/>
  <c r="AO104" i="31"/>
  <c r="AK104" i="31"/>
  <c r="AJ104" i="31"/>
  <c r="AH104" i="31"/>
  <c r="AG104" i="31"/>
  <c r="AF104" i="31"/>
  <c r="AE104" i="31"/>
  <c r="AD104" i="31"/>
  <c r="Z104" i="31"/>
  <c r="J104" i="31"/>
  <c r="I104" i="31"/>
  <c r="I103" i="31" s="1"/>
  <c r="AT103" i="31"/>
  <c r="AS103" i="31"/>
  <c r="BJ102" i="31"/>
  <c r="BF102" i="31"/>
  <c r="BD102" i="31"/>
  <c r="AX102" i="31"/>
  <c r="AW102" i="31"/>
  <c r="AP102" i="31"/>
  <c r="BI102" i="31" s="1"/>
  <c r="AO102" i="31"/>
  <c r="BH102" i="31" s="1"/>
  <c r="AB102" i="31" s="1"/>
  <c r="AL102" i="31"/>
  <c r="AU101" i="31" s="1"/>
  <c r="AK102" i="31"/>
  <c r="AT101" i="31" s="1"/>
  <c r="AJ102" i="31"/>
  <c r="AH102" i="31"/>
  <c r="AG102" i="31"/>
  <c r="AF102" i="31"/>
  <c r="AE102" i="31"/>
  <c r="AD102" i="31"/>
  <c r="AC102" i="31"/>
  <c r="Z102" i="31"/>
  <c r="J102" i="31"/>
  <c r="I102" i="31"/>
  <c r="I101" i="31" s="1"/>
  <c r="H102" i="31"/>
  <c r="H101" i="31" s="1"/>
  <c r="AS101" i="31"/>
  <c r="J101" i="31"/>
  <c r="BJ100" i="31"/>
  <c r="BF100" i="31"/>
  <c r="BD100" i="31"/>
  <c r="AW100" i="31"/>
  <c r="AP100" i="31"/>
  <c r="AO100" i="31"/>
  <c r="BH100" i="31" s="1"/>
  <c r="AB100" i="31" s="1"/>
  <c r="AL100" i="31"/>
  <c r="AK100" i="31"/>
  <c r="AJ100" i="31"/>
  <c r="AH100" i="31"/>
  <c r="AG100" i="31"/>
  <c r="AF100" i="31"/>
  <c r="AE100" i="31"/>
  <c r="AD100" i="31"/>
  <c r="Z100" i="31"/>
  <c r="J100" i="31"/>
  <c r="H100" i="31"/>
  <c r="BJ99" i="31"/>
  <c r="BF99" i="31"/>
  <c r="BD99" i="31"/>
  <c r="AX99" i="31"/>
  <c r="AP99" i="31"/>
  <c r="BI99" i="31" s="1"/>
  <c r="AC99" i="31" s="1"/>
  <c r="AO99" i="31"/>
  <c r="AK99" i="31"/>
  <c r="AJ99" i="31"/>
  <c r="AH99" i="31"/>
  <c r="AG99" i="31"/>
  <c r="AF99" i="31"/>
  <c r="AE99" i="31"/>
  <c r="AD99" i="31"/>
  <c r="Z99" i="31"/>
  <c r="J99" i="31"/>
  <c r="AL99" i="31" s="1"/>
  <c r="I99" i="31"/>
  <c r="BJ97" i="31"/>
  <c r="BF97" i="31"/>
  <c r="BD97" i="31"/>
  <c r="AP97" i="31"/>
  <c r="AX97" i="31" s="1"/>
  <c r="AO97" i="31"/>
  <c r="AK97" i="31"/>
  <c r="AJ97" i="31"/>
  <c r="AS96" i="31" s="1"/>
  <c r="AH97" i="31"/>
  <c r="AG97" i="31"/>
  <c r="AF97" i="31"/>
  <c r="AE97" i="31"/>
  <c r="AD97" i="31"/>
  <c r="Z97" i="31"/>
  <c r="J97" i="31"/>
  <c r="I97" i="31"/>
  <c r="AT96" i="31"/>
  <c r="BJ93" i="31"/>
  <c r="AH93" i="31" s="1"/>
  <c r="BF93" i="31"/>
  <c r="BD93" i="31"/>
  <c r="AW93" i="31"/>
  <c r="AP93" i="31"/>
  <c r="AO93" i="31"/>
  <c r="BH93" i="31" s="1"/>
  <c r="AL93" i="31"/>
  <c r="AK93" i="31"/>
  <c r="AJ93" i="31"/>
  <c r="AG93" i="31"/>
  <c r="AF93" i="31"/>
  <c r="AE93" i="31"/>
  <c r="AD93" i="31"/>
  <c r="AC93" i="31"/>
  <c r="AB93" i="31"/>
  <c r="Z93" i="31"/>
  <c r="J93" i="31"/>
  <c r="I93" i="31"/>
  <c r="H93" i="31"/>
  <c r="BJ92" i="31"/>
  <c r="BH92" i="31"/>
  <c r="BF92" i="31"/>
  <c r="BD92" i="31"/>
  <c r="AX92" i="31"/>
  <c r="AW92" i="31"/>
  <c r="BC92" i="31" s="1"/>
  <c r="AV92" i="31"/>
  <c r="AP92" i="31"/>
  <c r="BI92" i="31" s="1"/>
  <c r="AO92" i="31"/>
  <c r="AL92" i="31"/>
  <c r="AK92" i="31"/>
  <c r="AJ92" i="31"/>
  <c r="AH92" i="31"/>
  <c r="AG92" i="31"/>
  <c r="AF92" i="31"/>
  <c r="AE92" i="31"/>
  <c r="AD92" i="31"/>
  <c r="AC92" i="31"/>
  <c r="AB92" i="31"/>
  <c r="Z92" i="31"/>
  <c r="J92" i="31"/>
  <c r="I92" i="31"/>
  <c r="H92" i="31"/>
  <c r="BJ91" i="31"/>
  <c r="BI91" i="31"/>
  <c r="BH91" i="31"/>
  <c r="BF91" i="31"/>
  <c r="BD91" i="31"/>
  <c r="AX91" i="31"/>
  <c r="AW91" i="31"/>
  <c r="AP91" i="31"/>
  <c r="AO91" i="31"/>
  <c r="H91" i="31" s="1"/>
  <c r="AL91" i="31"/>
  <c r="AK91" i="31"/>
  <c r="AJ91" i="31"/>
  <c r="AH91" i="31"/>
  <c r="AG91" i="31"/>
  <c r="AF91" i="31"/>
  <c r="AE91" i="31"/>
  <c r="AD91" i="31"/>
  <c r="AC91" i="31"/>
  <c r="AB91" i="31"/>
  <c r="Z91" i="31"/>
  <c r="J91" i="31"/>
  <c r="I91" i="31"/>
  <c r="BJ89" i="31"/>
  <c r="BH89" i="31"/>
  <c r="BF89" i="31"/>
  <c r="BD89" i="31"/>
  <c r="AP89" i="31"/>
  <c r="AO89" i="31"/>
  <c r="AW89" i="31" s="1"/>
  <c r="AK89" i="31"/>
  <c r="AJ89" i="31"/>
  <c r="AH89" i="31"/>
  <c r="AG89" i="31"/>
  <c r="AF89" i="31"/>
  <c r="AE89" i="31"/>
  <c r="AD89" i="31"/>
  <c r="AC89" i="31"/>
  <c r="AB89" i="31"/>
  <c r="Z89" i="31"/>
  <c r="J89" i="31"/>
  <c r="AL89" i="31" s="1"/>
  <c r="H89" i="31"/>
  <c r="BJ88" i="31"/>
  <c r="AH88" i="31" s="1"/>
  <c r="BI88" i="31"/>
  <c r="BF88" i="31"/>
  <c r="BD88" i="31"/>
  <c r="AW88" i="31"/>
  <c r="BC88" i="31" s="1"/>
  <c r="AV88" i="31"/>
  <c r="AP88" i="31"/>
  <c r="AX88" i="31" s="1"/>
  <c r="AO88" i="31"/>
  <c r="BH88" i="31" s="1"/>
  <c r="AL88" i="31"/>
  <c r="AK88" i="31"/>
  <c r="AJ88" i="31"/>
  <c r="AG88" i="31"/>
  <c r="AF88" i="31"/>
  <c r="AE88" i="31"/>
  <c r="AD88" i="31"/>
  <c r="AC88" i="31"/>
  <c r="AB88" i="31"/>
  <c r="Z88" i="31"/>
  <c r="J88" i="31"/>
  <c r="I88" i="31"/>
  <c r="H88" i="31"/>
  <c r="BJ87" i="31"/>
  <c r="BF87" i="31"/>
  <c r="BD87" i="31"/>
  <c r="AX87" i="31"/>
  <c r="AP87" i="31"/>
  <c r="BI87" i="31" s="1"/>
  <c r="AO87" i="31"/>
  <c r="AK87" i="31"/>
  <c r="AJ87" i="31"/>
  <c r="AH87" i="31"/>
  <c r="AG87" i="31"/>
  <c r="AF87" i="31"/>
  <c r="AE87" i="31"/>
  <c r="AD87" i="31"/>
  <c r="AC87" i="31"/>
  <c r="AB87" i="31"/>
  <c r="Z87" i="31"/>
  <c r="J87" i="31"/>
  <c r="AL87" i="31" s="1"/>
  <c r="I87" i="31"/>
  <c r="BJ86" i="31"/>
  <c r="BF86" i="31"/>
  <c r="BD86" i="31"/>
  <c r="AP86" i="31"/>
  <c r="AO86" i="31"/>
  <c r="AK86" i="31"/>
  <c r="AJ86" i="31"/>
  <c r="AH86" i="31"/>
  <c r="AG86" i="31"/>
  <c r="AF86" i="31"/>
  <c r="AE86" i="31"/>
  <c r="AD86" i="31"/>
  <c r="AC86" i="31"/>
  <c r="AB86" i="31"/>
  <c r="Z86" i="31"/>
  <c r="J86" i="31"/>
  <c r="BJ85" i="31"/>
  <c r="BI85" i="31"/>
  <c r="BH85" i="31"/>
  <c r="BF85" i="31"/>
  <c r="BD85" i="31"/>
  <c r="AX85" i="31"/>
  <c r="BC85" i="31" s="1"/>
  <c r="AP85" i="31"/>
  <c r="I85" i="31" s="1"/>
  <c r="AO85" i="31"/>
  <c r="AW85" i="31" s="1"/>
  <c r="AK85" i="31"/>
  <c r="AT84" i="31" s="1"/>
  <c r="AJ85" i="31"/>
  <c r="AH85" i="31"/>
  <c r="AG85" i="31"/>
  <c r="AF85" i="31"/>
  <c r="AE85" i="31"/>
  <c r="AD85" i="31"/>
  <c r="AC85" i="31"/>
  <c r="AB85" i="31"/>
  <c r="Z85" i="31"/>
  <c r="J85" i="31"/>
  <c r="AL85" i="31" s="1"/>
  <c r="H85" i="31"/>
  <c r="BJ83" i="31"/>
  <c r="BI83" i="31"/>
  <c r="BH83" i="31"/>
  <c r="BF83" i="31"/>
  <c r="BD83" i="31"/>
  <c r="AX83" i="31"/>
  <c r="AW83" i="31"/>
  <c r="AP83" i="31"/>
  <c r="AO83" i="31"/>
  <c r="H83" i="31" s="1"/>
  <c r="AL83" i="31"/>
  <c r="AK83" i="31"/>
  <c r="AJ83" i="31"/>
  <c r="AH83" i="31"/>
  <c r="AG83" i="31"/>
  <c r="AF83" i="31"/>
  <c r="AE83" i="31"/>
  <c r="AD83" i="31"/>
  <c r="AC83" i="31"/>
  <c r="AB83" i="31"/>
  <c r="Z83" i="31"/>
  <c r="J83" i="31"/>
  <c r="J82" i="31" s="1"/>
  <c r="I83" i="31"/>
  <c r="AU82" i="31"/>
  <c r="AT82" i="31"/>
  <c r="AS82" i="31"/>
  <c r="I82" i="31"/>
  <c r="H82" i="31"/>
  <c r="BJ80" i="31"/>
  <c r="Z80" i="31" s="1"/>
  <c r="BH80" i="31"/>
  <c r="BF80" i="31"/>
  <c r="BD80" i="31"/>
  <c r="AX80" i="31"/>
  <c r="AW80" i="31"/>
  <c r="BC80" i="31" s="1"/>
  <c r="AV80" i="31"/>
  <c r="AP80" i="31"/>
  <c r="BI80" i="31" s="1"/>
  <c r="AO80" i="31"/>
  <c r="AK80" i="31"/>
  <c r="AT78" i="31" s="1"/>
  <c r="AJ80" i="31"/>
  <c r="AH80" i="31"/>
  <c r="AG80" i="31"/>
  <c r="AF80" i="31"/>
  <c r="AE80" i="31"/>
  <c r="AD80" i="31"/>
  <c r="AC80" i="31"/>
  <c r="AB80" i="31"/>
  <c r="J80" i="31"/>
  <c r="AL80" i="31" s="1"/>
  <c r="I80" i="31"/>
  <c r="H80" i="31"/>
  <c r="BJ79" i="31"/>
  <c r="BF79" i="31"/>
  <c r="BD79" i="31"/>
  <c r="AP79" i="31"/>
  <c r="AX79" i="31" s="1"/>
  <c r="AO79" i="31"/>
  <c r="AK79" i="31"/>
  <c r="AJ79" i="31"/>
  <c r="AH79" i="31"/>
  <c r="AG79" i="31"/>
  <c r="AF79" i="31"/>
  <c r="AE79" i="31"/>
  <c r="AD79" i="31"/>
  <c r="Z79" i="31"/>
  <c r="J79" i="31"/>
  <c r="AS78" i="31"/>
  <c r="BJ77" i="31"/>
  <c r="BH77" i="31"/>
  <c r="BF77" i="31"/>
  <c r="BD77" i="31"/>
  <c r="AX77" i="31"/>
  <c r="AW77" i="31"/>
  <c r="BC77" i="31" s="1"/>
  <c r="AV77" i="31"/>
  <c r="AP77" i="31"/>
  <c r="BI77" i="31" s="1"/>
  <c r="AO77" i="31"/>
  <c r="AL77" i="31"/>
  <c r="AU76" i="31" s="1"/>
  <c r="AK77" i="31"/>
  <c r="AT76" i="31" s="1"/>
  <c r="AJ77" i="31"/>
  <c r="AH77" i="31"/>
  <c r="AG77" i="31"/>
  <c r="AF77" i="31"/>
  <c r="AE77" i="31"/>
  <c r="AD77" i="31"/>
  <c r="AC77" i="31"/>
  <c r="AB77" i="31"/>
  <c r="Z77" i="31"/>
  <c r="J77" i="31"/>
  <c r="I77" i="31"/>
  <c r="I76" i="31" s="1"/>
  <c r="H77" i="31"/>
  <c r="H76" i="31" s="1"/>
  <c r="AS76" i="31"/>
  <c r="J76" i="31"/>
  <c r="BJ74" i="31"/>
  <c r="BF74" i="31"/>
  <c r="BD74" i="31"/>
  <c r="AW74" i="31"/>
  <c r="AP74" i="31"/>
  <c r="AO74" i="31"/>
  <c r="BH74" i="31" s="1"/>
  <c r="AL74" i="31"/>
  <c r="AK74" i="31"/>
  <c r="AT72" i="31" s="1"/>
  <c r="AJ74" i="31"/>
  <c r="AS72" i="31" s="1"/>
  <c r="AH74" i="31"/>
  <c r="AG74" i="31"/>
  <c r="AF74" i="31"/>
  <c r="AE74" i="31"/>
  <c r="AD74" i="31"/>
  <c r="AB74" i="31"/>
  <c r="Z74" i="31"/>
  <c r="J74" i="31"/>
  <c r="H74" i="31"/>
  <c r="BJ73" i="31"/>
  <c r="BF73" i="31"/>
  <c r="BD73" i="31"/>
  <c r="AX73" i="31"/>
  <c r="AP73" i="31"/>
  <c r="BI73" i="31" s="1"/>
  <c r="AC73" i="31" s="1"/>
  <c r="AO73" i="31"/>
  <c r="AK73" i="31"/>
  <c r="AJ73" i="31"/>
  <c r="AH73" i="31"/>
  <c r="AG73" i="31"/>
  <c r="AF73" i="31"/>
  <c r="AE73" i="31"/>
  <c r="AD73" i="31"/>
  <c r="Z73" i="31"/>
  <c r="J73" i="31"/>
  <c r="I73" i="31"/>
  <c r="BJ71" i="31"/>
  <c r="BI71" i="31"/>
  <c r="BF71" i="31"/>
  <c r="BD71" i="31"/>
  <c r="BC71" i="31"/>
  <c r="AW71" i="31"/>
  <c r="AV71" i="31" s="1"/>
  <c r="AP71" i="31"/>
  <c r="AX71" i="31" s="1"/>
  <c r="AO71" i="31"/>
  <c r="BH71" i="31" s="1"/>
  <c r="AB71" i="31" s="1"/>
  <c r="AL71" i="31"/>
  <c r="AU67" i="31" s="1"/>
  <c r="AK71" i="31"/>
  <c r="AJ71" i="31"/>
  <c r="AH71" i="31"/>
  <c r="AG71" i="31"/>
  <c r="AF71" i="31"/>
  <c r="AE71" i="31"/>
  <c r="AD71" i="31"/>
  <c r="AC71" i="31"/>
  <c r="Z71" i="31"/>
  <c r="J71" i="31"/>
  <c r="I71" i="31"/>
  <c r="H71" i="31"/>
  <c r="BJ70" i="31"/>
  <c r="BH70" i="31"/>
  <c r="BF70" i="31"/>
  <c r="BD70" i="31"/>
  <c r="AX70" i="31"/>
  <c r="AW70" i="31"/>
  <c r="BC70" i="31" s="1"/>
  <c r="AV70" i="31"/>
  <c r="AP70" i="31"/>
  <c r="BI70" i="31" s="1"/>
  <c r="AO70" i="31"/>
  <c r="AL70" i="31"/>
  <c r="AK70" i="31"/>
  <c r="AT67" i="31" s="1"/>
  <c r="AJ70" i="31"/>
  <c r="AH70" i="31"/>
  <c r="AG70" i="31"/>
  <c r="AF70" i="31"/>
  <c r="AE70" i="31"/>
  <c r="AD70" i="31"/>
  <c r="AC70" i="31"/>
  <c r="AB70" i="31"/>
  <c r="Z70" i="31"/>
  <c r="J70" i="31"/>
  <c r="I70" i="31"/>
  <c r="H70" i="31"/>
  <c r="BJ69" i="31"/>
  <c r="BI69" i="31"/>
  <c r="BH69" i="31"/>
  <c r="AB69" i="31" s="1"/>
  <c r="BF69" i="31"/>
  <c r="BD69" i="31"/>
  <c r="AX69" i="31"/>
  <c r="AW69" i="31"/>
  <c r="AP69" i="31"/>
  <c r="AO69" i="31"/>
  <c r="H69" i="31" s="1"/>
  <c r="AL69" i="31"/>
  <c r="AK69" i="31"/>
  <c r="AJ69" i="31"/>
  <c r="AH69" i="31"/>
  <c r="AG69" i="31"/>
  <c r="AF69" i="31"/>
  <c r="AE69" i="31"/>
  <c r="AD69" i="31"/>
  <c r="AC69" i="31"/>
  <c r="Z69" i="31"/>
  <c r="J69" i="31"/>
  <c r="I69" i="31"/>
  <c r="BJ68" i="31"/>
  <c r="BF68" i="31"/>
  <c r="BD68" i="31"/>
  <c r="AP68" i="31"/>
  <c r="AO68" i="31"/>
  <c r="AK68" i="31"/>
  <c r="AJ68" i="31"/>
  <c r="AS67" i="31" s="1"/>
  <c r="AH68" i="31"/>
  <c r="AG68" i="31"/>
  <c r="AF68" i="31"/>
  <c r="AE68" i="31"/>
  <c r="AD68" i="31"/>
  <c r="Z68" i="31"/>
  <c r="J68" i="31"/>
  <c r="AL68" i="31" s="1"/>
  <c r="J67" i="31"/>
  <c r="BJ66" i="31"/>
  <c r="BI66" i="31"/>
  <c r="BH66" i="31"/>
  <c r="AB66" i="31" s="1"/>
  <c r="BF66" i="31"/>
  <c r="BD66" i="31"/>
  <c r="AX66" i="31"/>
  <c r="AW66" i="31"/>
  <c r="AP66" i="31"/>
  <c r="AO66" i="31"/>
  <c r="AL66" i="31"/>
  <c r="AK66" i="31"/>
  <c r="AJ66" i="31"/>
  <c r="AH66" i="31"/>
  <c r="AG66" i="31"/>
  <c r="AF66" i="31"/>
  <c r="AE66" i="31"/>
  <c r="AD66" i="31"/>
  <c r="AC66" i="31"/>
  <c r="Z66" i="31"/>
  <c r="J66" i="31"/>
  <c r="I66" i="31"/>
  <c r="H66" i="31"/>
  <c r="BJ65" i="31"/>
  <c r="BF65" i="31"/>
  <c r="BD65" i="31"/>
  <c r="AX65" i="31"/>
  <c r="AW65" i="31"/>
  <c r="BC65" i="31" s="1"/>
  <c r="AV65" i="31"/>
  <c r="AP65" i="31"/>
  <c r="BI65" i="31" s="1"/>
  <c r="AC65" i="31" s="1"/>
  <c r="AO65" i="31"/>
  <c r="BH65" i="31" s="1"/>
  <c r="AB65" i="31" s="1"/>
  <c r="AL65" i="31"/>
  <c r="AK65" i="31"/>
  <c r="AJ65" i="31"/>
  <c r="AH65" i="31"/>
  <c r="AG65" i="31"/>
  <c r="AF65" i="31"/>
  <c r="AE65" i="31"/>
  <c r="AD65" i="31"/>
  <c r="Z65" i="31"/>
  <c r="J65" i="31"/>
  <c r="I65" i="31"/>
  <c r="H65" i="31"/>
  <c r="BJ64" i="31"/>
  <c r="BH64" i="31"/>
  <c r="AB64" i="31" s="1"/>
  <c r="BF64" i="31"/>
  <c r="BD64" i="31"/>
  <c r="AX64" i="31"/>
  <c r="AW64" i="31"/>
  <c r="AP64" i="31"/>
  <c r="BI64" i="31" s="1"/>
  <c r="AO64" i="31"/>
  <c r="H64" i="31" s="1"/>
  <c r="AL64" i="31"/>
  <c r="AK64" i="31"/>
  <c r="AJ64" i="31"/>
  <c r="AH64" i="31"/>
  <c r="AG64" i="31"/>
  <c r="AF64" i="31"/>
  <c r="AE64" i="31"/>
  <c r="AD64" i="31"/>
  <c r="AC64" i="31"/>
  <c r="Z64" i="31"/>
  <c r="J64" i="31"/>
  <c r="I64" i="31"/>
  <c r="BJ62" i="31"/>
  <c r="BI62" i="31"/>
  <c r="AC62" i="31" s="1"/>
  <c r="BF62" i="31"/>
  <c r="BD62" i="31"/>
  <c r="AP62" i="31"/>
  <c r="I62" i="31" s="1"/>
  <c r="AO62" i="31"/>
  <c r="AK62" i="31"/>
  <c r="AJ62" i="31"/>
  <c r="AS61" i="31" s="1"/>
  <c r="AH62" i="31"/>
  <c r="AG62" i="31"/>
  <c r="AF62" i="31"/>
  <c r="AE62" i="31"/>
  <c r="AD62" i="31"/>
  <c r="Z62" i="31"/>
  <c r="J62" i="31"/>
  <c r="AT61" i="31"/>
  <c r="I61" i="31"/>
  <c r="BJ60" i="31"/>
  <c r="BF60" i="31"/>
  <c r="BD60" i="31"/>
  <c r="AX60" i="31"/>
  <c r="AP60" i="31"/>
  <c r="BI60" i="31" s="1"/>
  <c r="AC60" i="31" s="1"/>
  <c r="AO60" i="31"/>
  <c r="H60" i="31" s="1"/>
  <c r="H59" i="31" s="1"/>
  <c r="AK60" i="31"/>
  <c r="AJ60" i="31"/>
  <c r="AH60" i="31"/>
  <c r="AG60" i="31"/>
  <c r="AF60" i="31"/>
  <c r="AE60" i="31"/>
  <c r="AD60" i="31"/>
  <c r="Z60" i="31"/>
  <c r="J60" i="31"/>
  <c r="J59" i="31" s="1"/>
  <c r="I60" i="31"/>
  <c r="I59" i="31" s="1"/>
  <c r="AT59" i="31"/>
  <c r="AS59" i="31"/>
  <c r="BJ56" i="31"/>
  <c r="AH56" i="31" s="1"/>
  <c r="BF56" i="31"/>
  <c r="BD56" i="31"/>
  <c r="AW56" i="31"/>
  <c r="AP56" i="31"/>
  <c r="BI56" i="31" s="1"/>
  <c r="AO56" i="31"/>
  <c r="BH56" i="31" s="1"/>
  <c r="AL56" i="31"/>
  <c r="AK56" i="31"/>
  <c r="AJ56" i="31"/>
  <c r="AS54" i="31" s="1"/>
  <c r="AG56" i="31"/>
  <c r="AF56" i="31"/>
  <c r="AE56" i="31"/>
  <c r="AD56" i="31"/>
  <c r="AC56" i="31"/>
  <c r="AB56" i="31"/>
  <c r="Z56" i="31"/>
  <c r="J56" i="31"/>
  <c r="H56" i="31"/>
  <c r="BJ55" i="31"/>
  <c r="AH55" i="31" s="1"/>
  <c r="BF55" i="31"/>
  <c r="BD55" i="31"/>
  <c r="AX55" i="31"/>
  <c r="AW55" i="31"/>
  <c r="BC55" i="31" s="1"/>
  <c r="AV55" i="31"/>
  <c r="AP55" i="31"/>
  <c r="BI55" i="31" s="1"/>
  <c r="AO55" i="31"/>
  <c r="BH55" i="31" s="1"/>
  <c r="AL55" i="31"/>
  <c r="AU54" i="31" s="1"/>
  <c r="AK55" i="31"/>
  <c r="AT54" i="31" s="1"/>
  <c r="AJ55" i="31"/>
  <c r="AG55" i="31"/>
  <c r="AF55" i="31"/>
  <c r="AE55" i="31"/>
  <c r="AD55" i="31"/>
  <c r="AC55" i="31"/>
  <c r="AB55" i="31"/>
  <c r="Z55" i="31"/>
  <c r="J55" i="31"/>
  <c r="I55" i="31"/>
  <c r="H55" i="31"/>
  <c r="H54" i="31" s="1"/>
  <c r="J54" i="31"/>
  <c r="BJ53" i="31"/>
  <c r="BF53" i="31"/>
  <c r="BD53" i="31"/>
  <c r="AW53" i="31"/>
  <c r="AP53" i="31"/>
  <c r="AO53" i="31"/>
  <c r="BH53" i="31" s="1"/>
  <c r="AL53" i="31"/>
  <c r="AK53" i="31"/>
  <c r="AT52" i="31" s="1"/>
  <c r="AJ53" i="31"/>
  <c r="AS52" i="31" s="1"/>
  <c r="AH53" i="31"/>
  <c r="AG53" i="31"/>
  <c r="AF53" i="31"/>
  <c r="AE53" i="31"/>
  <c r="AD53" i="31"/>
  <c r="AC53" i="31"/>
  <c r="AB53" i="31"/>
  <c r="Z53" i="31"/>
  <c r="J53" i="31"/>
  <c r="H53" i="31"/>
  <c r="H52" i="31" s="1"/>
  <c r="AU52" i="31"/>
  <c r="J52" i="31"/>
  <c r="BJ50" i="31"/>
  <c r="BI50" i="31"/>
  <c r="AC50" i="31" s="1"/>
  <c r="BH50" i="31"/>
  <c r="AB50" i="31" s="1"/>
  <c r="BF50" i="31"/>
  <c r="BD50" i="31"/>
  <c r="AX50" i="31"/>
  <c r="AP50" i="31"/>
  <c r="I50" i="31" s="1"/>
  <c r="AO50" i="31"/>
  <c r="AK50" i="31"/>
  <c r="AJ50" i="31"/>
  <c r="AS49" i="31" s="1"/>
  <c r="AH50" i="31"/>
  <c r="AG50" i="31"/>
  <c r="AF50" i="31"/>
  <c r="AE50" i="31"/>
  <c r="AD50" i="31"/>
  <c r="Z50" i="31"/>
  <c r="J50" i="31"/>
  <c r="AT49" i="31"/>
  <c r="I49" i="31"/>
  <c r="BJ48" i="31"/>
  <c r="BF48" i="31"/>
  <c r="BD48" i="31"/>
  <c r="AX48" i="31"/>
  <c r="AP48" i="31"/>
  <c r="BI48" i="31" s="1"/>
  <c r="AO48" i="31"/>
  <c r="H48" i="31" s="1"/>
  <c r="AL48" i="31"/>
  <c r="AU44" i="31" s="1"/>
  <c r="AK48" i="31"/>
  <c r="AJ48" i="31"/>
  <c r="AH48" i="31"/>
  <c r="AG48" i="31"/>
  <c r="AF48" i="31"/>
  <c r="AE48" i="31"/>
  <c r="AD48" i="31"/>
  <c r="AC48" i="31"/>
  <c r="Z48" i="31"/>
  <c r="J48" i="31"/>
  <c r="I48" i="31"/>
  <c r="BJ46" i="31"/>
  <c r="BF46" i="31"/>
  <c r="BD46" i="31"/>
  <c r="AP46" i="31"/>
  <c r="I46" i="31" s="1"/>
  <c r="AO46" i="31"/>
  <c r="BH46" i="31" s="1"/>
  <c r="AB46" i="31" s="1"/>
  <c r="AK46" i="31"/>
  <c r="AJ46" i="31"/>
  <c r="AH46" i="31"/>
  <c r="AG46" i="31"/>
  <c r="AF46" i="31"/>
  <c r="AE46" i="31"/>
  <c r="AD46" i="31"/>
  <c r="Z46" i="31"/>
  <c r="J46" i="31"/>
  <c r="AL46" i="31" s="1"/>
  <c r="BJ45" i="31"/>
  <c r="BI45" i="31"/>
  <c r="AC45" i="31" s="1"/>
  <c r="BF45" i="31"/>
  <c r="BD45" i="31"/>
  <c r="AW45" i="31"/>
  <c r="AP45" i="31"/>
  <c r="AO45" i="31"/>
  <c r="BH45" i="31" s="1"/>
  <c r="AL45" i="31"/>
  <c r="AK45" i="31"/>
  <c r="AT44" i="31" s="1"/>
  <c r="AJ45" i="31"/>
  <c r="AH45" i="31"/>
  <c r="AG45" i="31"/>
  <c r="AF45" i="31"/>
  <c r="AE45" i="31"/>
  <c r="AD45" i="31"/>
  <c r="AB45" i="31"/>
  <c r="Z45" i="31"/>
  <c r="J45" i="31"/>
  <c r="H45" i="31"/>
  <c r="J44" i="31"/>
  <c r="BJ43" i="31"/>
  <c r="BI43" i="31"/>
  <c r="AC43" i="31" s="1"/>
  <c r="BH43" i="31"/>
  <c r="AB43" i="31" s="1"/>
  <c r="BF43" i="31"/>
  <c r="BD43" i="31"/>
  <c r="AX43" i="31"/>
  <c r="AP43" i="31"/>
  <c r="I43" i="31" s="1"/>
  <c r="AO43" i="31"/>
  <c r="AK43" i="31"/>
  <c r="AJ43" i="31"/>
  <c r="AS40" i="31" s="1"/>
  <c r="AH43" i="31"/>
  <c r="AG43" i="31"/>
  <c r="AF43" i="31"/>
  <c r="AE43" i="31"/>
  <c r="AD43" i="31"/>
  <c r="Z43" i="31"/>
  <c r="J43" i="31"/>
  <c r="AL43" i="31" s="1"/>
  <c r="BJ42" i="31"/>
  <c r="BF42" i="31"/>
  <c r="BD42" i="31"/>
  <c r="AW42" i="31"/>
  <c r="AP42" i="31"/>
  <c r="AO42" i="31"/>
  <c r="BH42" i="31" s="1"/>
  <c r="AB42" i="31" s="1"/>
  <c r="AL42" i="31"/>
  <c r="AK42" i="31"/>
  <c r="AJ42" i="31"/>
  <c r="AH42" i="31"/>
  <c r="AG42" i="31"/>
  <c r="AF42" i="31"/>
  <c r="AE42" i="31"/>
  <c r="AD42" i="31"/>
  <c r="Z42" i="31"/>
  <c r="J42" i="31"/>
  <c r="H42" i="31"/>
  <c r="BJ41" i="31"/>
  <c r="BF41" i="31"/>
  <c r="BD41" i="31"/>
  <c r="AX41" i="31"/>
  <c r="AW41" i="31"/>
  <c r="BC41" i="31" s="1"/>
  <c r="AV41" i="31"/>
  <c r="AP41" i="31"/>
  <c r="BI41" i="31" s="1"/>
  <c r="AC41" i="31" s="1"/>
  <c r="AO41" i="31"/>
  <c r="BH41" i="31" s="1"/>
  <c r="AB41" i="31" s="1"/>
  <c r="AL41" i="31"/>
  <c r="AK41" i="31"/>
  <c r="AT40" i="31" s="1"/>
  <c r="AJ41" i="31"/>
  <c r="AH41" i="31"/>
  <c r="AG41" i="31"/>
  <c r="AF41" i="31"/>
  <c r="AE41" i="31"/>
  <c r="AD41" i="31"/>
  <c r="Z41" i="31"/>
  <c r="J41" i="31"/>
  <c r="I41" i="31"/>
  <c r="H41" i="31"/>
  <c r="J40" i="31"/>
  <c r="BJ39" i="31"/>
  <c r="BF39" i="31"/>
  <c r="BD39" i="31"/>
  <c r="AW39" i="31"/>
  <c r="AP39" i="31"/>
  <c r="BI39" i="31" s="1"/>
  <c r="AC39" i="31" s="1"/>
  <c r="AO39" i="31"/>
  <c r="BH39" i="31" s="1"/>
  <c r="AL39" i="31"/>
  <c r="AK39" i="31"/>
  <c r="AJ39" i="31"/>
  <c r="AH39" i="31"/>
  <c r="AG39" i="31"/>
  <c r="AF39" i="31"/>
  <c r="AE39" i="31"/>
  <c r="AD39" i="31"/>
  <c r="AB39" i="31"/>
  <c r="Z39" i="31"/>
  <c r="J39" i="31"/>
  <c r="H39" i="31"/>
  <c r="BJ37" i="31"/>
  <c r="BF37" i="31"/>
  <c r="BD37" i="31"/>
  <c r="AX37" i="31"/>
  <c r="AW37" i="31"/>
  <c r="BC37" i="31" s="1"/>
  <c r="AV37" i="31"/>
  <c r="AP37" i="31"/>
  <c r="BI37" i="31" s="1"/>
  <c r="AC37" i="31" s="1"/>
  <c r="AO37" i="31"/>
  <c r="BH37" i="31" s="1"/>
  <c r="AL37" i="31"/>
  <c r="AK37" i="31"/>
  <c r="AJ37" i="31"/>
  <c r="AH37" i="31"/>
  <c r="AG37" i="31"/>
  <c r="AF37" i="31"/>
  <c r="AE37" i="31"/>
  <c r="AD37" i="31"/>
  <c r="AB37" i="31"/>
  <c r="Z37" i="31"/>
  <c r="J37" i="31"/>
  <c r="I37" i="31"/>
  <c r="H37" i="31"/>
  <c r="BJ36" i="31"/>
  <c r="BF36" i="31"/>
  <c r="BD36" i="31"/>
  <c r="AX36" i="31"/>
  <c r="AP36" i="31"/>
  <c r="BI36" i="31" s="1"/>
  <c r="AO36" i="31"/>
  <c r="H36" i="31" s="1"/>
  <c r="AL36" i="31"/>
  <c r="AK36" i="31"/>
  <c r="AJ36" i="31"/>
  <c r="AH36" i="31"/>
  <c r="AG36" i="31"/>
  <c r="AF36" i="31"/>
  <c r="AE36" i="31"/>
  <c r="AD36" i="31"/>
  <c r="AC36" i="31"/>
  <c r="Z36" i="31"/>
  <c r="J36" i="31"/>
  <c r="I36" i="31"/>
  <c r="BJ35" i="31"/>
  <c r="BF35" i="31"/>
  <c r="BD35" i="31"/>
  <c r="AP35" i="31"/>
  <c r="I35" i="31" s="1"/>
  <c r="AO35" i="31"/>
  <c r="BH35" i="31" s="1"/>
  <c r="AB35" i="31" s="1"/>
  <c r="AK35" i="31"/>
  <c r="AJ35" i="31"/>
  <c r="AH35" i="31"/>
  <c r="AG35" i="31"/>
  <c r="AF35" i="31"/>
  <c r="AE35" i="31"/>
  <c r="AD35" i="31"/>
  <c r="Z35" i="31"/>
  <c r="J35" i="31"/>
  <c r="AT34" i="31"/>
  <c r="BJ33" i="31"/>
  <c r="BH33" i="31"/>
  <c r="AB33" i="31" s="1"/>
  <c r="BF33" i="31"/>
  <c r="BD33" i="31"/>
  <c r="AX33" i="31"/>
  <c r="AW33" i="31"/>
  <c r="AV33" i="31" s="1"/>
  <c r="AP33" i="31"/>
  <c r="BI33" i="31" s="1"/>
  <c r="AO33" i="31"/>
  <c r="H33" i="31" s="1"/>
  <c r="AL33" i="31"/>
  <c r="AK33" i="31"/>
  <c r="AJ33" i="31"/>
  <c r="AH33" i="31"/>
  <c r="AG33" i="31"/>
  <c r="AF33" i="31"/>
  <c r="AE33" i="31"/>
  <c r="AD33" i="31"/>
  <c r="AC33" i="31"/>
  <c r="Z33" i="31"/>
  <c r="J33" i="31"/>
  <c r="I33" i="31"/>
  <c r="BJ32" i="31"/>
  <c r="BI32" i="31"/>
  <c r="AC32" i="31" s="1"/>
  <c r="BF32" i="31"/>
  <c r="BD32" i="31"/>
  <c r="AP32" i="31"/>
  <c r="I32" i="31" s="1"/>
  <c r="AO32" i="31"/>
  <c r="AW32" i="31" s="1"/>
  <c r="AK32" i="31"/>
  <c r="AJ32" i="31"/>
  <c r="AS31" i="31" s="1"/>
  <c r="AH32" i="31"/>
  <c r="AG32" i="31"/>
  <c r="AF32" i="31"/>
  <c r="AE32" i="31"/>
  <c r="AD32" i="31"/>
  <c r="Z32" i="31"/>
  <c r="J32" i="31"/>
  <c r="AL32" i="31" s="1"/>
  <c r="AU31" i="31"/>
  <c r="AT31" i="31"/>
  <c r="J31" i="31"/>
  <c r="I31" i="31"/>
  <c r="BJ29" i="31"/>
  <c r="Z29" i="31" s="1"/>
  <c r="BH29" i="31"/>
  <c r="BF29" i="31"/>
  <c r="BD29" i="31"/>
  <c r="AX29" i="31"/>
  <c r="AW29" i="31"/>
  <c r="BC29" i="31" s="1"/>
  <c r="AP29" i="31"/>
  <c r="BI29" i="31" s="1"/>
  <c r="AO29" i="31"/>
  <c r="AL29" i="31"/>
  <c r="AK29" i="31"/>
  <c r="AJ29" i="31"/>
  <c r="AH29" i="31"/>
  <c r="AG29" i="31"/>
  <c r="AF29" i="31"/>
  <c r="AE29" i="31"/>
  <c r="AD29" i="31"/>
  <c r="AC29" i="31"/>
  <c r="AB29" i="31"/>
  <c r="J29" i="31"/>
  <c r="I29" i="31"/>
  <c r="H29" i="31"/>
  <c r="BJ27" i="31"/>
  <c r="BI27" i="31"/>
  <c r="BH27" i="31"/>
  <c r="BF27" i="31"/>
  <c r="BD27" i="31"/>
  <c r="AX27" i="31"/>
  <c r="AW27" i="31"/>
  <c r="AV27" i="31" s="1"/>
  <c r="AP27" i="31"/>
  <c r="AO27" i="31"/>
  <c r="H27" i="31" s="1"/>
  <c r="AL27" i="31"/>
  <c r="AK27" i="31"/>
  <c r="AJ27" i="31"/>
  <c r="AH27" i="31"/>
  <c r="AG27" i="31"/>
  <c r="AF27" i="31"/>
  <c r="AE27" i="31"/>
  <c r="AD27" i="31"/>
  <c r="AC27" i="31"/>
  <c r="AB27" i="31"/>
  <c r="Z27" i="31"/>
  <c r="J27" i="31"/>
  <c r="J26" i="31" s="1"/>
  <c r="I27" i="31"/>
  <c r="AU26" i="31"/>
  <c r="AT26" i="31"/>
  <c r="AS26" i="31"/>
  <c r="I26" i="31"/>
  <c r="H26" i="31"/>
  <c r="BJ25" i="31"/>
  <c r="Z25" i="31" s="1"/>
  <c r="BH25" i="31"/>
  <c r="BF25" i="31"/>
  <c r="BD25" i="31"/>
  <c r="AX25" i="31"/>
  <c r="AW25" i="31"/>
  <c r="BC25" i="31" s="1"/>
  <c r="AV25" i="31"/>
  <c r="AP25" i="31"/>
  <c r="BI25" i="31" s="1"/>
  <c r="AO25" i="31"/>
  <c r="AK25" i="31"/>
  <c r="AJ25" i="31"/>
  <c r="AH25" i="31"/>
  <c r="AG25" i="31"/>
  <c r="AF25" i="31"/>
  <c r="AE25" i="31"/>
  <c r="AD25" i="31"/>
  <c r="AC25" i="31"/>
  <c r="AB25" i="31"/>
  <c r="J25" i="31"/>
  <c r="J24" i="31" s="1"/>
  <c r="I25" i="31"/>
  <c r="I24" i="31" s="1"/>
  <c r="H25" i="31"/>
  <c r="AT24" i="31"/>
  <c r="AS24" i="31"/>
  <c r="H24" i="31"/>
  <c r="BJ23" i="31"/>
  <c r="BI23" i="31"/>
  <c r="BF23" i="31"/>
  <c r="BD23" i="31"/>
  <c r="AW23" i="31"/>
  <c r="AV23" i="31" s="1"/>
  <c r="AP23" i="31"/>
  <c r="AX23" i="31" s="1"/>
  <c r="AO23" i="31"/>
  <c r="BH23" i="31" s="1"/>
  <c r="AB23" i="31" s="1"/>
  <c r="AL23" i="31"/>
  <c r="AK23" i="31"/>
  <c r="AJ23" i="31"/>
  <c r="AH23" i="31"/>
  <c r="AG23" i="31"/>
  <c r="AF23" i="31"/>
  <c r="AE23" i="31"/>
  <c r="AD23" i="31"/>
  <c r="AC23" i="31"/>
  <c r="Z23" i="31"/>
  <c r="J23" i="31"/>
  <c r="I23" i="31"/>
  <c r="H23" i="31"/>
  <c r="BJ22" i="31"/>
  <c r="BH22" i="31"/>
  <c r="BF22" i="31"/>
  <c r="BD22" i="31"/>
  <c r="AX22" i="31"/>
  <c r="AW22" i="31"/>
  <c r="BC22" i="31" s="1"/>
  <c r="AV22" i="31"/>
  <c r="AP22" i="31"/>
  <c r="BI22" i="31" s="1"/>
  <c r="AO22" i="31"/>
  <c r="AL22" i="31"/>
  <c r="AK22" i="31"/>
  <c r="AT21" i="31" s="1"/>
  <c r="AJ22" i="31"/>
  <c r="AH22" i="31"/>
  <c r="AG22" i="31"/>
  <c r="AF22" i="31"/>
  <c r="AE22" i="31"/>
  <c r="AD22" i="31"/>
  <c r="AC22" i="31"/>
  <c r="AB22" i="31"/>
  <c r="Z22" i="31"/>
  <c r="J22" i="31"/>
  <c r="I22" i="31"/>
  <c r="H22" i="31"/>
  <c r="AS21" i="31"/>
  <c r="J21" i="31"/>
  <c r="J20" i="31" s="1"/>
  <c r="H21" i="31"/>
  <c r="H20" i="31" s="1"/>
  <c r="BJ19" i="31"/>
  <c r="Z19" i="31" s="1"/>
  <c r="BI19" i="31"/>
  <c r="BF19" i="31"/>
  <c r="BD19" i="31"/>
  <c r="AP19" i="31"/>
  <c r="I19" i="31" s="1"/>
  <c r="AO19" i="31"/>
  <c r="AW19" i="31" s="1"/>
  <c r="AK19" i="31"/>
  <c r="AJ19" i="31"/>
  <c r="AH19" i="31"/>
  <c r="AG19" i="31"/>
  <c r="AF19" i="31"/>
  <c r="AE19" i="31"/>
  <c r="AD19" i="31"/>
  <c r="AC19" i="31"/>
  <c r="AB19" i="31"/>
  <c r="J19" i="31"/>
  <c r="AL19" i="31" s="1"/>
  <c r="H19" i="31"/>
  <c r="BJ18" i="31"/>
  <c r="BF18" i="31"/>
  <c r="BD18" i="31"/>
  <c r="AW18" i="31"/>
  <c r="BC18" i="31" s="1"/>
  <c r="AP18" i="31"/>
  <c r="AX18" i="31" s="1"/>
  <c r="AV18" i="31" s="1"/>
  <c r="AO18" i="31"/>
  <c r="BH18" i="31" s="1"/>
  <c r="AL18" i="31"/>
  <c r="AK18" i="31"/>
  <c r="AT17" i="31" s="1"/>
  <c r="AJ18" i="31"/>
  <c r="AS17" i="31" s="1"/>
  <c r="AH18" i="31"/>
  <c r="AG18" i="31"/>
  <c r="AF18" i="31"/>
  <c r="AE18" i="31"/>
  <c r="AD18" i="31"/>
  <c r="AC18" i="31"/>
  <c r="AB18" i="31"/>
  <c r="Z18" i="31"/>
  <c r="J18" i="31"/>
  <c r="H18" i="31"/>
  <c r="AU17" i="31"/>
  <c r="BJ16" i="31"/>
  <c r="Z16" i="31" s="1"/>
  <c r="BH16" i="31"/>
  <c r="BF16" i="31"/>
  <c r="BD16" i="31"/>
  <c r="AP16" i="31"/>
  <c r="I16" i="31" s="1"/>
  <c r="I15" i="31" s="1"/>
  <c r="AO16" i="31"/>
  <c r="AW16" i="31" s="1"/>
  <c r="AK16" i="31"/>
  <c r="AJ16" i="31"/>
  <c r="AS15" i="31" s="1"/>
  <c r="AH16" i="31"/>
  <c r="AG16" i="31"/>
  <c r="AF16" i="31"/>
  <c r="AE16" i="31"/>
  <c r="AD16" i="31"/>
  <c r="AC16" i="31"/>
  <c r="AB16" i="31"/>
  <c r="J16" i="31"/>
  <c r="AL16" i="31" s="1"/>
  <c r="AU15" i="31" s="1"/>
  <c r="H16" i="31"/>
  <c r="AT15" i="31"/>
  <c r="J15" i="31"/>
  <c r="H15" i="31"/>
  <c r="BJ14" i="31"/>
  <c r="BF14" i="31"/>
  <c r="BD14" i="31"/>
  <c r="AP14" i="31"/>
  <c r="AX14" i="31" s="1"/>
  <c r="AO14" i="31"/>
  <c r="H14" i="31" s="1"/>
  <c r="H13" i="31" s="1"/>
  <c r="AK14" i="31"/>
  <c r="AT13" i="31" s="1"/>
  <c r="AJ14" i="31"/>
  <c r="AH14" i="31"/>
  <c r="C20" i="30" s="1"/>
  <c r="AG14" i="31"/>
  <c r="AF14" i="31"/>
  <c r="AE14" i="31"/>
  <c r="AD14" i="31"/>
  <c r="C16" i="30" s="1"/>
  <c r="Z14" i="31"/>
  <c r="C21" i="30" s="1"/>
  <c r="J14" i="31"/>
  <c r="J13" i="31" s="1"/>
  <c r="AS13" i="31"/>
  <c r="AU1" i="31"/>
  <c r="AT1" i="31"/>
  <c r="AS1" i="31"/>
  <c r="C27" i="30"/>
  <c r="C17" i="30"/>
  <c r="I10" i="30"/>
  <c r="F10" i="30"/>
  <c r="C10" i="30"/>
  <c r="F8" i="30"/>
  <c r="C8" i="30"/>
  <c r="F6" i="30"/>
  <c r="C6" i="30"/>
  <c r="F4" i="30"/>
  <c r="C4" i="30"/>
  <c r="F2" i="30"/>
  <c r="C2" i="30"/>
  <c r="J13" i="33" l="1"/>
  <c r="C18" i="32"/>
  <c r="C28" i="32"/>
  <c r="F28" i="32" s="1"/>
  <c r="C19" i="32"/>
  <c r="C17" i="32"/>
  <c r="BH14" i="33"/>
  <c r="AB14" i="33" s="1"/>
  <c r="C14" i="32" s="1"/>
  <c r="H14" i="33"/>
  <c r="H13" i="33" s="1"/>
  <c r="H12" i="33" s="1"/>
  <c r="AL31" i="33"/>
  <c r="AU30" i="33" s="1"/>
  <c r="J30" i="33"/>
  <c r="AW53" i="33"/>
  <c r="H53" i="33"/>
  <c r="H42" i="33" s="1"/>
  <c r="AV54" i="33"/>
  <c r="BC54" i="33"/>
  <c r="AX58" i="33"/>
  <c r="I58" i="33"/>
  <c r="J12" i="33"/>
  <c r="C29" i="32"/>
  <c r="AS13" i="33"/>
  <c r="C27" i="32"/>
  <c r="AU21" i="33"/>
  <c r="BC23" i="33"/>
  <c r="AX31" i="33"/>
  <c r="AW41" i="33"/>
  <c r="H41" i="33"/>
  <c r="H40" i="33" s="1"/>
  <c r="AW45" i="33"/>
  <c r="H45" i="33"/>
  <c r="AV47" i="33"/>
  <c r="BC47" i="33"/>
  <c r="AX51" i="33"/>
  <c r="I51" i="33"/>
  <c r="AX60" i="33"/>
  <c r="AX14" i="33"/>
  <c r="AV14" i="33" s="1"/>
  <c r="I21" i="33"/>
  <c r="J25" i="33"/>
  <c r="J24" i="33" s="1"/>
  <c r="AW29" i="33"/>
  <c r="BH29" i="33"/>
  <c r="BI31" i="33"/>
  <c r="AL41" i="33"/>
  <c r="AU40" i="33" s="1"/>
  <c r="J40" i="33"/>
  <c r="AS42" i="33"/>
  <c r="AX43" i="33"/>
  <c r="I43" i="33"/>
  <c r="AX53" i="33"/>
  <c r="BH53" i="33"/>
  <c r="BI58" i="33"/>
  <c r="BI60" i="33"/>
  <c r="AU13" i="33"/>
  <c r="BI14" i="33"/>
  <c r="AC14" i="33" s="1"/>
  <c r="C15" i="32" s="1"/>
  <c r="AW15" i="33"/>
  <c r="AV17" i="33"/>
  <c r="I19" i="33"/>
  <c r="I13" i="33" s="1"/>
  <c r="BI19" i="33"/>
  <c r="AC19" i="33" s="1"/>
  <c r="AW26" i="33"/>
  <c r="AV27" i="33"/>
  <c r="AL29" i="33"/>
  <c r="AU28" i="33" s="1"/>
  <c r="AW31" i="33"/>
  <c r="H31" i="33"/>
  <c r="H30" i="33" s="1"/>
  <c r="H24" i="33" s="1"/>
  <c r="AW33" i="33"/>
  <c r="BH33" i="33"/>
  <c r="AX36" i="33"/>
  <c r="I36" i="33"/>
  <c r="I35" i="33" s="1"/>
  <c r="I34" i="33" s="1"/>
  <c r="AV38" i="33"/>
  <c r="AX41" i="33"/>
  <c r="BH41" i="33"/>
  <c r="J42" i="33"/>
  <c r="AT42" i="33"/>
  <c r="AX45" i="33"/>
  <c r="BH45" i="33"/>
  <c r="BI51" i="33"/>
  <c r="BI53" i="33"/>
  <c r="AW60" i="33"/>
  <c r="H60" i="33"/>
  <c r="BI14" i="31"/>
  <c r="AC14" i="31" s="1"/>
  <c r="C19" i="30"/>
  <c r="I14" i="31"/>
  <c r="I13" i="31" s="1"/>
  <c r="I12" i="31" s="1"/>
  <c r="BC16" i="31"/>
  <c r="I96" i="31"/>
  <c r="AX53" i="31"/>
  <c r="I53" i="31"/>
  <c r="I52" i="31" s="1"/>
  <c r="AL62" i="31"/>
  <c r="AU61" i="31" s="1"/>
  <c r="J61" i="31"/>
  <c r="AV64" i="31"/>
  <c r="BC64" i="31"/>
  <c r="H79" i="31"/>
  <c r="H78" i="31" s="1"/>
  <c r="BH79" i="31"/>
  <c r="AB79" i="31" s="1"/>
  <c r="AW79" i="31"/>
  <c r="BC89" i="31"/>
  <c r="AX108" i="31"/>
  <c r="I108" i="31"/>
  <c r="BI108" i="31"/>
  <c r="I21" i="31"/>
  <c r="I20" i="31" s="1"/>
  <c r="H32" i="31"/>
  <c r="H31" i="31" s="1"/>
  <c r="AX42" i="31"/>
  <c r="I42" i="31"/>
  <c r="I40" i="31" s="1"/>
  <c r="AW68" i="31"/>
  <c r="BH68" i="31"/>
  <c r="AB68" i="31" s="1"/>
  <c r="BH87" i="31"/>
  <c r="AW87" i="31"/>
  <c r="H87" i="31"/>
  <c r="I89" i="31"/>
  <c r="BI89" i="31"/>
  <c r="AX89" i="31"/>
  <c r="AV89" i="31" s="1"/>
  <c r="AX100" i="31"/>
  <c r="I100" i="31"/>
  <c r="BI100" i="31"/>
  <c r="AC100" i="31" s="1"/>
  <c r="AW14" i="31"/>
  <c r="C18" i="30"/>
  <c r="AX16" i="31"/>
  <c r="AV16" i="31" s="1"/>
  <c r="J17" i="31"/>
  <c r="J12" i="31" s="1"/>
  <c r="I18" i="31"/>
  <c r="I17" i="31" s="1"/>
  <c r="BI18" i="31"/>
  <c r="AL25" i="31"/>
  <c r="AU24" i="31" s="1"/>
  <c r="BC27" i="31"/>
  <c r="J30" i="31"/>
  <c r="BC33" i="31"/>
  <c r="AS34" i="31"/>
  <c r="AX35" i="31"/>
  <c r="H40" i="31"/>
  <c r="AW43" i="31"/>
  <c r="H43" i="31"/>
  <c r="AX46" i="31"/>
  <c r="AW50" i="31"/>
  <c r="H50" i="31"/>
  <c r="H49" i="31" s="1"/>
  <c r="BI53" i="31"/>
  <c r="AW60" i="31"/>
  <c r="BH60" i="31"/>
  <c r="AB60" i="31" s="1"/>
  <c r="H68" i="31"/>
  <c r="H67" i="31" s="1"/>
  <c r="I68" i="31"/>
  <c r="I67" i="31" s="1"/>
  <c r="I58" i="31" s="1"/>
  <c r="AX68" i="31"/>
  <c r="BI68" i="31"/>
  <c r="AC68" i="31" s="1"/>
  <c r="AV69" i="31"/>
  <c r="BC69" i="31"/>
  <c r="I79" i="31"/>
  <c r="I78" i="31" s="1"/>
  <c r="AV85" i="31"/>
  <c r="H86" i="31"/>
  <c r="H84" i="31" s="1"/>
  <c r="H58" i="31" s="1"/>
  <c r="BH86" i="31"/>
  <c r="AW86" i="31"/>
  <c r="AV91" i="31"/>
  <c r="BC91" i="31"/>
  <c r="AX93" i="31"/>
  <c r="BI93" i="31"/>
  <c r="H97" i="31"/>
  <c r="BH97" i="31"/>
  <c r="AB97" i="31" s="1"/>
  <c r="AW97" i="31"/>
  <c r="H104" i="31"/>
  <c r="H103" i="31" s="1"/>
  <c r="BH104" i="31"/>
  <c r="AB104" i="31" s="1"/>
  <c r="AW104" i="31"/>
  <c r="I109" i="31"/>
  <c r="BI109" i="31"/>
  <c r="AW35" i="31"/>
  <c r="H35" i="31"/>
  <c r="H34" i="31" s="1"/>
  <c r="AX39" i="31"/>
  <c r="I39" i="31"/>
  <c r="I34" i="31" s="1"/>
  <c r="AW46" i="31"/>
  <c r="H46" i="31"/>
  <c r="H44" i="31" s="1"/>
  <c r="AX56" i="31"/>
  <c r="I56" i="31"/>
  <c r="I54" i="31" s="1"/>
  <c r="AL73" i="31"/>
  <c r="AU72" i="31" s="1"/>
  <c r="J72" i="31"/>
  <c r="AX74" i="31"/>
  <c r="AV74" i="31" s="1"/>
  <c r="BI74" i="31"/>
  <c r="AC74" i="31" s="1"/>
  <c r="I74" i="31"/>
  <c r="AV83" i="31"/>
  <c r="BC83" i="31"/>
  <c r="BC102" i="31"/>
  <c r="AV102" i="31"/>
  <c r="C28" i="30"/>
  <c r="F28" i="30" s="1"/>
  <c r="H17" i="31"/>
  <c r="H12" i="31" s="1"/>
  <c r="AU21" i="31"/>
  <c r="BC23" i="31"/>
  <c r="AL50" i="31"/>
  <c r="AU49" i="31" s="1"/>
  <c r="J49" i="31"/>
  <c r="AW62" i="31"/>
  <c r="H62" i="31"/>
  <c r="H61" i="31" s="1"/>
  <c r="BH73" i="31"/>
  <c r="AB73" i="31" s="1"/>
  <c r="AW73" i="31"/>
  <c r="H73" i="31"/>
  <c r="H72" i="31" s="1"/>
  <c r="BI79" i="31"/>
  <c r="AC79" i="31" s="1"/>
  <c r="J96" i="31"/>
  <c r="AL97" i="31"/>
  <c r="AU96" i="31" s="1"/>
  <c r="J103" i="31"/>
  <c r="AL104" i="31"/>
  <c r="AU103" i="31" s="1"/>
  <c r="AL14" i="31"/>
  <c r="BH14" i="31"/>
  <c r="AB14" i="31" s="1"/>
  <c r="BI16" i="31"/>
  <c r="AX19" i="31"/>
  <c r="BC19" i="31" s="1"/>
  <c r="BH19" i="31"/>
  <c r="AV29" i="31"/>
  <c r="AX32" i="31"/>
  <c r="AV32" i="31" s="1"/>
  <c r="BH32" i="31"/>
  <c r="AB32" i="31" s="1"/>
  <c r="AL35" i="31"/>
  <c r="AU34" i="31" s="1"/>
  <c r="J34" i="31"/>
  <c r="BI35" i="31"/>
  <c r="AC35" i="31" s="1"/>
  <c r="C15" i="30" s="1"/>
  <c r="AW36" i="31"/>
  <c r="BH36" i="31"/>
  <c r="AB36" i="31" s="1"/>
  <c r="AU40" i="31"/>
  <c r="BI42" i="31"/>
  <c r="AC42" i="31" s="1"/>
  <c r="AS44" i="31"/>
  <c r="AX45" i="31"/>
  <c r="I45" i="31"/>
  <c r="I44" i="31" s="1"/>
  <c r="BI46" i="31"/>
  <c r="AC46" i="31" s="1"/>
  <c r="AW48" i="31"/>
  <c r="BH48" i="31"/>
  <c r="AB48" i="31" s="1"/>
  <c r="AL60" i="31"/>
  <c r="AU59" i="31" s="1"/>
  <c r="AX62" i="31"/>
  <c r="BH62" i="31"/>
  <c r="AB62" i="31" s="1"/>
  <c r="AV66" i="31"/>
  <c r="BC66" i="31"/>
  <c r="J78" i="31"/>
  <c r="J111" i="31" s="1"/>
  <c r="AL79" i="31"/>
  <c r="AU78" i="31" s="1"/>
  <c r="AL86" i="31"/>
  <c r="AU84" i="31" s="1"/>
  <c r="J84" i="31"/>
  <c r="AX86" i="31"/>
  <c r="I86" i="31"/>
  <c r="I84" i="31" s="1"/>
  <c r="BI86" i="31"/>
  <c r="BI97" i="31"/>
  <c r="AC97" i="31" s="1"/>
  <c r="BH99" i="31"/>
  <c r="AB99" i="31" s="1"/>
  <c r="AW99" i="31"/>
  <c r="H99" i="31"/>
  <c r="AL106" i="31"/>
  <c r="AU105" i="31" s="1"/>
  <c r="J105" i="31"/>
  <c r="I106" i="31"/>
  <c r="I105" i="31" s="1"/>
  <c r="BI106" i="31"/>
  <c r="AX109" i="31"/>
  <c r="I72" i="31"/>
  <c r="AS84" i="31"/>
  <c r="AW106" i="31"/>
  <c r="H106" i="31"/>
  <c r="H105" i="31" s="1"/>
  <c r="H107" i="31"/>
  <c r="AW109" i="31"/>
  <c r="H109" i="31"/>
  <c r="F29" i="32" l="1"/>
  <c r="B18" i="1" s="1"/>
  <c r="B17" i="1"/>
  <c r="C22" i="32"/>
  <c r="AV26" i="33"/>
  <c r="BC26" i="33"/>
  <c r="AV43" i="33"/>
  <c r="BC43" i="33"/>
  <c r="AV45" i="33"/>
  <c r="BC45" i="33"/>
  <c r="BC36" i="33"/>
  <c r="AV36" i="33"/>
  <c r="AV31" i="33"/>
  <c r="BC31" i="33"/>
  <c r="BC58" i="33"/>
  <c r="AV58" i="33"/>
  <c r="AV53" i="33"/>
  <c r="BC53" i="33"/>
  <c r="AV60" i="33"/>
  <c r="BC60" i="33"/>
  <c r="I12" i="33"/>
  <c r="J39" i="33"/>
  <c r="AV29" i="33"/>
  <c r="BC29" i="33"/>
  <c r="H39" i="33"/>
  <c r="BC14" i="33"/>
  <c r="AV15" i="33"/>
  <c r="BC15" i="33"/>
  <c r="AV51" i="33"/>
  <c r="BC51" i="33"/>
  <c r="AV33" i="33"/>
  <c r="BC33" i="33"/>
  <c r="I42" i="33"/>
  <c r="I39" i="33" s="1"/>
  <c r="AV41" i="33"/>
  <c r="BC41" i="33"/>
  <c r="I28" i="32"/>
  <c r="J61" i="33"/>
  <c r="I30" i="31"/>
  <c r="AV48" i="31"/>
  <c r="BC48" i="31"/>
  <c r="J95" i="31"/>
  <c r="AV68" i="31"/>
  <c r="BC68" i="31"/>
  <c r="I95" i="31"/>
  <c r="BC39" i="31"/>
  <c r="AV39" i="31"/>
  <c r="AV97" i="31"/>
  <c r="BC97" i="31"/>
  <c r="BC74" i="31"/>
  <c r="AV79" i="31"/>
  <c r="BC79" i="31"/>
  <c r="BC53" i="31"/>
  <c r="AV53" i="31"/>
  <c r="AV106" i="31"/>
  <c r="BC106" i="31"/>
  <c r="AV62" i="31"/>
  <c r="BC62" i="31"/>
  <c r="AV104" i="31"/>
  <c r="BC104" i="31"/>
  <c r="AV42" i="31"/>
  <c r="BC42" i="31"/>
  <c r="I107" i="31"/>
  <c r="J58" i="31"/>
  <c r="BC32" i="31"/>
  <c r="AV19" i="31"/>
  <c r="AU13" i="31"/>
  <c r="C29" i="30"/>
  <c r="AV86" i="31"/>
  <c r="BC86" i="31"/>
  <c r="AV50" i="31"/>
  <c r="BC50" i="31"/>
  <c r="AV43" i="31"/>
  <c r="BC43" i="31"/>
  <c r="AV100" i="31"/>
  <c r="BC100" i="31"/>
  <c r="AV36" i="31"/>
  <c r="BC36" i="31"/>
  <c r="BC56" i="31"/>
  <c r="AV56" i="31"/>
  <c r="AV93" i="31"/>
  <c r="BC93" i="31"/>
  <c r="AV60" i="31"/>
  <c r="BC60" i="31"/>
  <c r="AV14" i="31"/>
  <c r="BC14" i="31"/>
  <c r="BC87" i="31"/>
  <c r="AV87" i="31"/>
  <c r="AV109" i="31"/>
  <c r="BC109" i="31"/>
  <c r="BC99" i="31"/>
  <c r="AV99" i="31"/>
  <c r="BC45" i="31"/>
  <c r="AV45" i="31"/>
  <c r="C14" i="30"/>
  <c r="C22" i="30" s="1"/>
  <c r="BC73" i="31"/>
  <c r="AV73" i="31"/>
  <c r="AV46" i="31"/>
  <c r="BC46" i="31"/>
  <c r="AV35" i="31"/>
  <c r="BC35" i="31"/>
  <c r="H96" i="31"/>
  <c r="H95" i="31" s="1"/>
  <c r="H30" i="31"/>
  <c r="BC108" i="31"/>
  <c r="AV108" i="31"/>
  <c r="I29" i="32" l="1"/>
  <c r="B19" i="1"/>
  <c r="F29" i="30"/>
  <c r="B10" i="1" s="1"/>
  <c r="B9" i="1"/>
  <c r="I28" i="30"/>
  <c r="I29" i="30" l="1"/>
  <c r="B11" i="1"/>
  <c r="BK118" i="27" l="1"/>
  <c r="BK117" i="27" s="1"/>
  <c r="J117" i="27" s="1"/>
  <c r="J68" i="27" s="1"/>
  <c r="BI118" i="27"/>
  <c r="BH118" i="27"/>
  <c r="BG118" i="27"/>
  <c r="BF118" i="27"/>
  <c r="BE118" i="27"/>
  <c r="T118" i="27"/>
  <c r="R118" i="27"/>
  <c r="R117" i="27" s="1"/>
  <c r="P118" i="27"/>
  <c r="J118" i="27"/>
  <c r="T117" i="27"/>
  <c r="P117" i="27"/>
  <c r="BK115" i="27"/>
  <c r="BK112" i="27" s="1"/>
  <c r="J112" i="27" s="1"/>
  <c r="J67" i="27" s="1"/>
  <c r="BI115" i="27"/>
  <c r="BH115" i="27"/>
  <c r="BG115" i="27"/>
  <c r="BF115" i="27"/>
  <c r="T115" i="27"/>
  <c r="R115" i="27"/>
  <c r="P115" i="27"/>
  <c r="J115" i="27"/>
  <c r="BE115" i="27" s="1"/>
  <c r="BK113" i="27"/>
  <c r="BI113" i="27"/>
  <c r="BH113" i="27"/>
  <c r="BG113" i="27"/>
  <c r="BF113" i="27"/>
  <c r="T113" i="27"/>
  <c r="T112" i="27" s="1"/>
  <c r="R113" i="27"/>
  <c r="P113" i="27"/>
  <c r="P112" i="27" s="1"/>
  <c r="J113" i="27"/>
  <c r="BE113" i="27" s="1"/>
  <c r="R112" i="27"/>
  <c r="BK110" i="27"/>
  <c r="BI110" i="27"/>
  <c r="BH110" i="27"/>
  <c r="BG110" i="27"/>
  <c r="BF110" i="27"/>
  <c r="BE110" i="27"/>
  <c r="T110" i="27"/>
  <c r="R110" i="27"/>
  <c r="P110" i="27"/>
  <c r="J110" i="27"/>
  <c r="BK107" i="27"/>
  <c r="BI107" i="27"/>
  <c r="BH107" i="27"/>
  <c r="BG107" i="27"/>
  <c r="BF107" i="27"/>
  <c r="BE107" i="27"/>
  <c r="T107" i="27"/>
  <c r="R107" i="27"/>
  <c r="P107" i="27"/>
  <c r="J107" i="27"/>
  <c r="BK105" i="27"/>
  <c r="BK104" i="27" s="1"/>
  <c r="J104" i="27" s="1"/>
  <c r="J66" i="27" s="1"/>
  <c r="BI105" i="27"/>
  <c r="BH105" i="27"/>
  <c r="BG105" i="27"/>
  <c r="BF105" i="27"/>
  <c r="T105" i="27"/>
  <c r="R105" i="27"/>
  <c r="R104" i="27" s="1"/>
  <c r="P105" i="27"/>
  <c r="P104" i="27" s="1"/>
  <c r="J105" i="27"/>
  <c r="BE105" i="27" s="1"/>
  <c r="T104" i="27"/>
  <c r="BK101" i="27"/>
  <c r="BI101" i="27"/>
  <c r="BH101" i="27"/>
  <c r="BG101" i="27"/>
  <c r="BF101" i="27"/>
  <c r="BE101" i="27"/>
  <c r="T101" i="27"/>
  <c r="R101" i="27"/>
  <c r="P101" i="27"/>
  <c r="J101" i="27"/>
  <c r="BK99" i="27"/>
  <c r="BI99" i="27"/>
  <c r="BH99" i="27"/>
  <c r="BG99" i="27"/>
  <c r="BF99" i="27"/>
  <c r="BE99" i="27"/>
  <c r="T99" i="27"/>
  <c r="R99" i="27"/>
  <c r="P99" i="27"/>
  <c r="J99" i="27"/>
  <c r="BK97" i="27"/>
  <c r="BI97" i="27"/>
  <c r="BH97" i="27"/>
  <c r="BG97" i="27"/>
  <c r="BF97" i="27"/>
  <c r="T97" i="27"/>
  <c r="R97" i="27"/>
  <c r="P97" i="27"/>
  <c r="P92" i="27" s="1"/>
  <c r="J97" i="27"/>
  <c r="BE97" i="27" s="1"/>
  <c r="BK95" i="27"/>
  <c r="BI95" i="27"/>
  <c r="BH95" i="27"/>
  <c r="BG95" i="27"/>
  <c r="BF95" i="27"/>
  <c r="T95" i="27"/>
  <c r="T92" i="27" s="1"/>
  <c r="T91" i="27" s="1"/>
  <c r="T90" i="27" s="1"/>
  <c r="R95" i="27"/>
  <c r="P95" i="27"/>
  <c r="J95" i="27"/>
  <c r="BE95" i="27" s="1"/>
  <c r="BK93" i="27"/>
  <c r="BI93" i="27"/>
  <c r="BH93" i="27"/>
  <c r="BG93" i="27"/>
  <c r="BF93" i="27"/>
  <c r="T93" i="27"/>
  <c r="R93" i="27"/>
  <c r="P93" i="27"/>
  <c r="J93" i="27"/>
  <c r="BE93" i="27" s="1"/>
  <c r="R92" i="27"/>
  <c r="F86" i="27"/>
  <c r="F84" i="27"/>
  <c r="E82" i="27"/>
  <c r="F58" i="27"/>
  <c r="F56" i="27"/>
  <c r="E54" i="27"/>
  <c r="J39" i="27"/>
  <c r="J38" i="27"/>
  <c r="J37" i="27"/>
  <c r="J26" i="27"/>
  <c r="E26" i="27"/>
  <c r="J59" i="27" s="1"/>
  <c r="J25" i="27"/>
  <c r="J23" i="27"/>
  <c r="E23" i="27"/>
  <c r="J58" i="27" s="1"/>
  <c r="J22" i="27"/>
  <c r="J20" i="27"/>
  <c r="E20" i="27"/>
  <c r="F59" i="27" s="1"/>
  <c r="J19" i="27"/>
  <c r="J14" i="27"/>
  <c r="J84" i="27" s="1"/>
  <c r="E7" i="27"/>
  <c r="E50" i="27" s="1"/>
  <c r="F39" i="27" l="1"/>
  <c r="F37" i="27"/>
  <c r="F38" i="27"/>
  <c r="J36" i="27"/>
  <c r="BK92" i="27"/>
  <c r="BK91" i="27" s="1"/>
  <c r="R91" i="27"/>
  <c r="R90" i="27" s="1"/>
  <c r="J35" i="27"/>
  <c r="F35" i="27"/>
  <c r="P91" i="27"/>
  <c r="P90" i="27" s="1"/>
  <c r="J56" i="27"/>
  <c r="J86" i="27"/>
  <c r="J87" i="27"/>
  <c r="E78" i="27"/>
  <c r="F36" i="27"/>
  <c r="F87" i="27"/>
  <c r="J92" i="27" l="1"/>
  <c r="J65" i="27" s="1"/>
  <c r="J91" i="27"/>
  <c r="J64" i="27" s="1"/>
  <c r="BK90" i="27"/>
  <c r="J90" i="27" s="1"/>
  <c r="J63" i="27" l="1"/>
  <c r="J32" i="27"/>
  <c r="J41" i="27" s="1"/>
  <c r="BK436" i="23" l="1"/>
  <c r="BK435" i="23" s="1"/>
  <c r="J435" i="23" s="1"/>
  <c r="J71" i="23" s="1"/>
  <c r="BI436" i="23"/>
  <c r="BH436" i="23"/>
  <c r="BG436" i="23"/>
  <c r="BF436" i="23"/>
  <c r="T436" i="23"/>
  <c r="T435" i="23" s="1"/>
  <c r="R436" i="23"/>
  <c r="P436" i="23"/>
  <c r="P435" i="23" s="1"/>
  <c r="J436" i="23"/>
  <c r="BE436" i="23" s="1"/>
  <c r="R435" i="23"/>
  <c r="BK430" i="23"/>
  <c r="BI430" i="23"/>
  <c r="BH430" i="23"/>
  <c r="BG430" i="23"/>
  <c r="BF430" i="23"/>
  <c r="BE430" i="23"/>
  <c r="T430" i="23"/>
  <c r="R430" i="23"/>
  <c r="P430" i="23"/>
  <c r="J430" i="23"/>
  <c r="BK403" i="23"/>
  <c r="BI403" i="23"/>
  <c r="BH403" i="23"/>
  <c r="BG403" i="23"/>
  <c r="BF403" i="23"/>
  <c r="BE403" i="23"/>
  <c r="T403" i="23"/>
  <c r="R403" i="23"/>
  <c r="P403" i="23"/>
  <c r="J403" i="23"/>
  <c r="BK399" i="23"/>
  <c r="BI399" i="23"/>
  <c r="BH399" i="23"/>
  <c r="BG399" i="23"/>
  <c r="BF399" i="23"/>
  <c r="T399" i="23"/>
  <c r="R399" i="23"/>
  <c r="P399" i="23"/>
  <c r="P390" i="23" s="1"/>
  <c r="J399" i="23"/>
  <c r="BE399" i="23" s="1"/>
  <c r="BK395" i="23"/>
  <c r="BI395" i="23"/>
  <c r="BH395" i="23"/>
  <c r="BG395" i="23"/>
  <c r="BF395" i="23"/>
  <c r="T395" i="23"/>
  <c r="R395" i="23"/>
  <c r="P395" i="23"/>
  <c r="J395" i="23"/>
  <c r="BE395" i="23" s="1"/>
  <c r="BK391" i="23"/>
  <c r="BI391" i="23"/>
  <c r="BH391" i="23"/>
  <c r="BG391" i="23"/>
  <c r="BF391" i="23"/>
  <c r="T391" i="23"/>
  <c r="T390" i="23" s="1"/>
  <c r="R391" i="23"/>
  <c r="R390" i="23" s="1"/>
  <c r="P391" i="23"/>
  <c r="J391" i="23"/>
  <c r="BE391" i="23" s="1"/>
  <c r="BK390" i="23"/>
  <c r="J390" i="23" s="1"/>
  <c r="J70" i="23" s="1"/>
  <c r="BK386" i="23"/>
  <c r="BI386" i="23"/>
  <c r="BH386" i="23"/>
  <c r="BG386" i="23"/>
  <c r="BF386" i="23"/>
  <c r="BE386" i="23"/>
  <c r="T386" i="23"/>
  <c r="R386" i="23"/>
  <c r="P386" i="23"/>
  <c r="J386" i="23"/>
  <c r="BK382" i="23"/>
  <c r="BI382" i="23"/>
  <c r="BH382" i="23"/>
  <c r="BG382" i="23"/>
  <c r="BF382" i="23"/>
  <c r="T382" i="23"/>
  <c r="R382" i="23"/>
  <c r="P382" i="23"/>
  <c r="J382" i="23"/>
  <c r="BE382" i="23" s="1"/>
  <c r="BK378" i="23"/>
  <c r="BI378" i="23"/>
  <c r="BH378" i="23"/>
  <c r="BG378" i="23"/>
  <c r="BF378" i="23"/>
  <c r="T378" i="23"/>
  <c r="R378" i="23"/>
  <c r="P378" i="23"/>
  <c r="J378" i="23"/>
  <c r="BE378" i="23" s="1"/>
  <c r="BK374" i="23"/>
  <c r="BI374" i="23"/>
  <c r="BH374" i="23"/>
  <c r="BG374" i="23"/>
  <c r="BF374" i="23"/>
  <c r="BE374" i="23"/>
  <c r="T374" i="23"/>
  <c r="R374" i="23"/>
  <c r="P374" i="23"/>
  <c r="J374" i="23"/>
  <c r="BK370" i="23"/>
  <c r="BI370" i="23"/>
  <c r="BH370" i="23"/>
  <c r="BG370" i="23"/>
  <c r="BF370" i="23"/>
  <c r="BE370" i="23"/>
  <c r="T370" i="23"/>
  <c r="R370" i="23"/>
  <c r="P370" i="23"/>
  <c r="J370" i="23"/>
  <c r="BK366" i="23"/>
  <c r="BI366" i="23"/>
  <c r="BH366" i="23"/>
  <c r="BG366" i="23"/>
  <c r="BF366" i="23"/>
  <c r="T366" i="23"/>
  <c r="R366" i="23"/>
  <c r="P366" i="23"/>
  <c r="J366" i="23"/>
  <c r="BE366" i="23" s="1"/>
  <c r="BK362" i="23"/>
  <c r="BI362" i="23"/>
  <c r="BH362" i="23"/>
  <c r="BG362" i="23"/>
  <c r="BF362" i="23"/>
  <c r="T362" i="23"/>
  <c r="R362" i="23"/>
  <c r="P362" i="23"/>
  <c r="J362" i="23"/>
  <c r="BE362" i="23" s="1"/>
  <c r="BK358" i="23"/>
  <c r="BI358" i="23"/>
  <c r="BH358" i="23"/>
  <c r="BG358" i="23"/>
  <c r="BF358" i="23"/>
  <c r="BE358" i="23"/>
  <c r="T358" i="23"/>
  <c r="R358" i="23"/>
  <c r="P358" i="23"/>
  <c r="J358" i="23"/>
  <c r="BK354" i="23"/>
  <c r="BI354" i="23"/>
  <c r="BH354" i="23"/>
  <c r="BG354" i="23"/>
  <c r="BF354" i="23"/>
  <c r="BE354" i="23"/>
  <c r="T354" i="23"/>
  <c r="R354" i="23"/>
  <c r="P354" i="23"/>
  <c r="J354" i="23"/>
  <c r="BK351" i="23"/>
  <c r="BI351" i="23"/>
  <c r="BH351" i="23"/>
  <c r="BG351" i="23"/>
  <c r="BF351" i="23"/>
  <c r="T351" i="23"/>
  <c r="R351" i="23"/>
  <c r="P351" i="23"/>
  <c r="J351" i="23"/>
  <c r="BE351" i="23" s="1"/>
  <c r="BK348" i="23"/>
  <c r="BI348" i="23"/>
  <c r="BH348" i="23"/>
  <c r="BG348" i="23"/>
  <c r="BF348" i="23"/>
  <c r="T348" i="23"/>
  <c r="R348" i="23"/>
  <c r="P348" i="23"/>
  <c r="J348" i="23"/>
  <c r="BE348" i="23" s="1"/>
  <c r="BK344" i="23"/>
  <c r="BI344" i="23"/>
  <c r="BH344" i="23"/>
  <c r="BG344" i="23"/>
  <c r="BF344" i="23"/>
  <c r="BE344" i="23"/>
  <c r="T344" i="23"/>
  <c r="R344" i="23"/>
  <c r="P344" i="23"/>
  <c r="J344" i="23"/>
  <c r="BK340" i="23"/>
  <c r="BI340" i="23"/>
  <c r="BH340" i="23"/>
  <c r="BG340" i="23"/>
  <c r="BF340" i="23"/>
  <c r="BE340" i="23"/>
  <c r="T340" i="23"/>
  <c r="R340" i="23"/>
  <c r="P340" i="23"/>
  <c r="J340" i="23"/>
  <c r="BK338" i="23"/>
  <c r="BI338" i="23"/>
  <c r="BH338" i="23"/>
  <c r="BG338" i="23"/>
  <c r="BF338" i="23"/>
  <c r="T338" i="23"/>
  <c r="R338" i="23"/>
  <c r="P338" i="23"/>
  <c r="J338" i="23"/>
  <c r="BE338" i="23" s="1"/>
  <c r="BK336" i="23"/>
  <c r="BI336" i="23"/>
  <c r="BH336" i="23"/>
  <c r="BG336" i="23"/>
  <c r="BF336" i="23"/>
  <c r="T336" i="23"/>
  <c r="R336" i="23"/>
  <c r="P336" i="23"/>
  <c r="J336" i="23"/>
  <c r="BE336" i="23" s="1"/>
  <c r="BK334" i="23"/>
  <c r="BI334" i="23"/>
  <c r="BH334" i="23"/>
  <c r="BG334" i="23"/>
  <c r="BF334" i="23"/>
  <c r="BE334" i="23"/>
  <c r="T334" i="23"/>
  <c r="R334" i="23"/>
  <c r="P334" i="23"/>
  <c r="J334" i="23"/>
  <c r="BK332" i="23"/>
  <c r="BI332" i="23"/>
  <c r="BH332" i="23"/>
  <c r="BG332" i="23"/>
  <c r="BF332" i="23"/>
  <c r="BE332" i="23"/>
  <c r="T332" i="23"/>
  <c r="R332" i="23"/>
  <c r="P332" i="23"/>
  <c r="J332" i="23"/>
  <c r="BK328" i="23"/>
  <c r="BI328" i="23"/>
  <c r="BH328" i="23"/>
  <c r="BG328" i="23"/>
  <c r="BF328" i="23"/>
  <c r="T328" i="23"/>
  <c r="R328" i="23"/>
  <c r="P328" i="23"/>
  <c r="J328" i="23"/>
  <c r="BE328" i="23" s="1"/>
  <c r="BK326" i="23"/>
  <c r="BI326" i="23"/>
  <c r="BH326" i="23"/>
  <c r="BG326" i="23"/>
  <c r="BF326" i="23"/>
  <c r="T326" i="23"/>
  <c r="R326" i="23"/>
  <c r="P326" i="23"/>
  <c r="J326" i="23"/>
  <c r="BE326" i="23" s="1"/>
  <c r="BK320" i="23"/>
  <c r="BI320" i="23"/>
  <c r="BH320" i="23"/>
  <c r="BG320" i="23"/>
  <c r="BF320" i="23"/>
  <c r="BE320" i="23"/>
  <c r="T320" i="23"/>
  <c r="R320" i="23"/>
  <c r="P320" i="23"/>
  <c r="J320" i="23"/>
  <c r="BK318" i="23"/>
  <c r="BI318" i="23"/>
  <c r="BH318" i="23"/>
  <c r="BG318" i="23"/>
  <c r="BF318" i="23"/>
  <c r="BE318" i="23"/>
  <c r="T318" i="23"/>
  <c r="R318" i="23"/>
  <c r="P318" i="23"/>
  <c r="P306" i="23" s="1"/>
  <c r="J318" i="23"/>
  <c r="BK316" i="23"/>
  <c r="BI316" i="23"/>
  <c r="BH316" i="23"/>
  <c r="BG316" i="23"/>
  <c r="BF316" i="23"/>
  <c r="T316" i="23"/>
  <c r="R316" i="23"/>
  <c r="P316" i="23"/>
  <c r="J316" i="23"/>
  <c r="BE316" i="23" s="1"/>
  <c r="BK314" i="23"/>
  <c r="BI314" i="23"/>
  <c r="BH314" i="23"/>
  <c r="BG314" i="23"/>
  <c r="BF314" i="23"/>
  <c r="T314" i="23"/>
  <c r="T306" i="23" s="1"/>
  <c r="R314" i="23"/>
  <c r="P314" i="23"/>
  <c r="J314" i="23"/>
  <c r="BE314" i="23" s="1"/>
  <c r="BK307" i="23"/>
  <c r="BI307" i="23"/>
  <c r="BH307" i="23"/>
  <c r="BG307" i="23"/>
  <c r="BF307" i="23"/>
  <c r="BE307" i="23"/>
  <c r="T307" i="23"/>
  <c r="R307" i="23"/>
  <c r="R306" i="23" s="1"/>
  <c r="P307" i="23"/>
  <c r="J307" i="23"/>
  <c r="BK306" i="23"/>
  <c r="J306" i="23" s="1"/>
  <c r="J69" i="23" s="1"/>
  <c r="BK304" i="23"/>
  <c r="BI304" i="23"/>
  <c r="BH304" i="23"/>
  <c r="BG304" i="23"/>
  <c r="BF304" i="23"/>
  <c r="T304" i="23"/>
  <c r="R304" i="23"/>
  <c r="P304" i="23"/>
  <c r="J304" i="23"/>
  <c r="BE304" i="23" s="1"/>
  <c r="BK302" i="23"/>
  <c r="BI302" i="23"/>
  <c r="BH302" i="23"/>
  <c r="BG302" i="23"/>
  <c r="BF302" i="23"/>
  <c r="T302" i="23"/>
  <c r="R302" i="23"/>
  <c r="P302" i="23"/>
  <c r="J302" i="23"/>
  <c r="BE302" i="23" s="1"/>
  <c r="BK300" i="23"/>
  <c r="BI300" i="23"/>
  <c r="BH300" i="23"/>
  <c r="BG300" i="23"/>
  <c r="BF300" i="23"/>
  <c r="T300" i="23"/>
  <c r="R300" i="23"/>
  <c r="P300" i="23"/>
  <c r="J300" i="23"/>
  <c r="BE300" i="23" s="1"/>
  <c r="BK298" i="23"/>
  <c r="BI298" i="23"/>
  <c r="BH298" i="23"/>
  <c r="BG298" i="23"/>
  <c r="BF298" i="23"/>
  <c r="BE298" i="23"/>
  <c r="T298" i="23"/>
  <c r="R298" i="23"/>
  <c r="P298" i="23"/>
  <c r="J298" i="23"/>
  <c r="BK294" i="23"/>
  <c r="BI294" i="23"/>
  <c r="BH294" i="23"/>
  <c r="BG294" i="23"/>
  <c r="BF294" i="23"/>
  <c r="T294" i="23"/>
  <c r="R294" i="23"/>
  <c r="P294" i="23"/>
  <c r="J294" i="23"/>
  <c r="BE294" i="23" s="1"/>
  <c r="BK290" i="23"/>
  <c r="BI290" i="23"/>
  <c r="BH290" i="23"/>
  <c r="BG290" i="23"/>
  <c r="BF290" i="23"/>
  <c r="T290" i="23"/>
  <c r="T283" i="23" s="1"/>
  <c r="R290" i="23"/>
  <c r="P290" i="23"/>
  <c r="J290" i="23"/>
  <c r="BE290" i="23" s="1"/>
  <c r="BK287" i="23"/>
  <c r="BI287" i="23"/>
  <c r="BH287" i="23"/>
  <c r="BG287" i="23"/>
  <c r="BF287" i="23"/>
  <c r="T287" i="23"/>
  <c r="R287" i="23"/>
  <c r="P287" i="23"/>
  <c r="J287" i="23"/>
  <c r="BE287" i="23" s="1"/>
  <c r="BK284" i="23"/>
  <c r="BK283" i="23" s="1"/>
  <c r="J283" i="23" s="1"/>
  <c r="J68" i="23" s="1"/>
  <c r="BI284" i="23"/>
  <c r="BH284" i="23"/>
  <c r="BG284" i="23"/>
  <c r="BF284" i="23"/>
  <c r="BE284" i="23"/>
  <c r="T284" i="23"/>
  <c r="R284" i="23"/>
  <c r="R283" i="23" s="1"/>
  <c r="P284" i="23"/>
  <c r="J284" i="23"/>
  <c r="P283" i="23"/>
  <c r="BK280" i="23"/>
  <c r="BI280" i="23"/>
  <c r="BH280" i="23"/>
  <c r="BG280" i="23"/>
  <c r="BF280" i="23"/>
  <c r="T280" i="23"/>
  <c r="R280" i="23"/>
  <c r="P280" i="23"/>
  <c r="J280" i="23"/>
  <c r="BE280" i="23" s="1"/>
  <c r="BK277" i="23"/>
  <c r="BI277" i="23"/>
  <c r="BH277" i="23"/>
  <c r="BG277" i="23"/>
  <c r="BF277" i="23"/>
  <c r="T277" i="23"/>
  <c r="R277" i="23"/>
  <c r="P277" i="23"/>
  <c r="J277" i="23"/>
  <c r="BE277" i="23" s="1"/>
  <c r="BK274" i="23"/>
  <c r="BI274" i="23"/>
  <c r="BH274" i="23"/>
  <c r="BG274" i="23"/>
  <c r="BF274" i="23"/>
  <c r="BE274" i="23"/>
  <c r="T274" i="23"/>
  <c r="R274" i="23"/>
  <c r="P274" i="23"/>
  <c r="J274" i="23"/>
  <c r="BK271" i="23"/>
  <c r="BI271" i="23"/>
  <c r="BH271" i="23"/>
  <c r="BG271" i="23"/>
  <c r="BF271" i="23"/>
  <c r="BE271" i="23"/>
  <c r="T271" i="23"/>
  <c r="R271" i="23"/>
  <c r="P271" i="23"/>
  <c r="J271" i="23"/>
  <c r="BK266" i="23"/>
  <c r="BI266" i="23"/>
  <c r="BH266" i="23"/>
  <c r="BG266" i="23"/>
  <c r="BF266" i="23"/>
  <c r="T266" i="23"/>
  <c r="R266" i="23"/>
  <c r="P266" i="23"/>
  <c r="J266" i="23"/>
  <c r="BE266" i="23" s="1"/>
  <c r="BK263" i="23"/>
  <c r="BI263" i="23"/>
  <c r="BH263" i="23"/>
  <c r="BG263" i="23"/>
  <c r="BF263" i="23"/>
  <c r="T263" i="23"/>
  <c r="R263" i="23"/>
  <c r="P263" i="23"/>
  <c r="J263" i="23"/>
  <c r="BE263" i="23" s="1"/>
  <c r="BK258" i="23"/>
  <c r="BI258" i="23"/>
  <c r="BH258" i="23"/>
  <c r="BG258" i="23"/>
  <c r="BF258" i="23"/>
  <c r="BE258" i="23"/>
  <c r="T258" i="23"/>
  <c r="R258" i="23"/>
  <c r="P258" i="23"/>
  <c r="J258" i="23"/>
  <c r="BK255" i="23"/>
  <c r="BI255" i="23"/>
  <c r="BH255" i="23"/>
  <c r="BG255" i="23"/>
  <c r="BF255" i="23"/>
  <c r="BE255" i="23"/>
  <c r="T255" i="23"/>
  <c r="R255" i="23"/>
  <c r="P255" i="23"/>
  <c r="J255" i="23"/>
  <c r="BK252" i="23"/>
  <c r="BI252" i="23"/>
  <c r="BH252" i="23"/>
  <c r="BG252" i="23"/>
  <c r="BF252" i="23"/>
  <c r="T252" i="23"/>
  <c r="R252" i="23"/>
  <c r="P252" i="23"/>
  <c r="J252" i="23"/>
  <c r="BE252" i="23" s="1"/>
  <c r="BK248" i="23"/>
  <c r="BI248" i="23"/>
  <c r="BH248" i="23"/>
  <c r="BG248" i="23"/>
  <c r="BF248" i="23"/>
  <c r="T248" i="23"/>
  <c r="R248" i="23"/>
  <c r="P248" i="23"/>
  <c r="J248" i="23"/>
  <c r="BE248" i="23" s="1"/>
  <c r="BK244" i="23"/>
  <c r="BI244" i="23"/>
  <c r="BH244" i="23"/>
  <c r="BG244" i="23"/>
  <c r="BF244" i="23"/>
  <c r="BE244" i="23"/>
  <c r="T244" i="23"/>
  <c r="R244" i="23"/>
  <c r="P244" i="23"/>
  <c r="J244" i="23"/>
  <c r="BK240" i="23"/>
  <c r="BI240" i="23"/>
  <c r="BH240" i="23"/>
  <c r="BG240" i="23"/>
  <c r="BF240" i="23"/>
  <c r="BE240" i="23"/>
  <c r="T240" i="23"/>
  <c r="R240" i="23"/>
  <c r="P240" i="23"/>
  <c r="J240" i="23"/>
  <c r="BK236" i="23"/>
  <c r="BI236" i="23"/>
  <c r="BH236" i="23"/>
  <c r="BG236" i="23"/>
  <c r="BF236" i="23"/>
  <c r="T236" i="23"/>
  <c r="T223" i="23" s="1"/>
  <c r="R236" i="23"/>
  <c r="P236" i="23"/>
  <c r="J236" i="23"/>
  <c r="BE236" i="23" s="1"/>
  <c r="BK232" i="23"/>
  <c r="BI232" i="23"/>
  <c r="BH232" i="23"/>
  <c r="BG232" i="23"/>
  <c r="BF232" i="23"/>
  <c r="T232" i="23"/>
  <c r="R232" i="23"/>
  <c r="P232" i="23"/>
  <c r="J232" i="23"/>
  <c r="BE232" i="23" s="1"/>
  <c r="BK228" i="23"/>
  <c r="BI228" i="23"/>
  <c r="BH228" i="23"/>
  <c r="BG228" i="23"/>
  <c r="BF228" i="23"/>
  <c r="BE228" i="23"/>
  <c r="T228" i="23"/>
  <c r="R228" i="23"/>
  <c r="P228" i="23"/>
  <c r="J228" i="23"/>
  <c r="BK224" i="23"/>
  <c r="BK223" i="23" s="1"/>
  <c r="J223" i="23" s="1"/>
  <c r="J67" i="23" s="1"/>
  <c r="BI224" i="23"/>
  <c r="BH224" i="23"/>
  <c r="BG224" i="23"/>
  <c r="BF224" i="23"/>
  <c r="BE224" i="23"/>
  <c r="T224" i="23"/>
  <c r="R224" i="23"/>
  <c r="R223" i="23" s="1"/>
  <c r="P224" i="23"/>
  <c r="P223" i="23" s="1"/>
  <c r="J224" i="23"/>
  <c r="BK219" i="23"/>
  <c r="BI219" i="23"/>
  <c r="BH219" i="23"/>
  <c r="BG219" i="23"/>
  <c r="BF219" i="23"/>
  <c r="T219" i="23"/>
  <c r="R219" i="23"/>
  <c r="P219" i="23"/>
  <c r="J219" i="23"/>
  <c r="BE219" i="23" s="1"/>
  <c r="BK215" i="23"/>
  <c r="BI215" i="23"/>
  <c r="BH215" i="23"/>
  <c r="BG215" i="23"/>
  <c r="BF215" i="23"/>
  <c r="T215" i="23"/>
  <c r="R215" i="23"/>
  <c r="R197" i="23" s="1"/>
  <c r="P215" i="23"/>
  <c r="J215" i="23"/>
  <c r="BE215" i="23" s="1"/>
  <c r="BK208" i="23"/>
  <c r="BI208" i="23"/>
  <c r="BH208" i="23"/>
  <c r="BG208" i="23"/>
  <c r="BF208" i="23"/>
  <c r="BE208" i="23"/>
  <c r="T208" i="23"/>
  <c r="R208" i="23"/>
  <c r="P208" i="23"/>
  <c r="J208" i="23"/>
  <c r="BK202" i="23"/>
  <c r="BI202" i="23"/>
  <c r="BH202" i="23"/>
  <c r="BG202" i="23"/>
  <c r="BF202" i="23"/>
  <c r="T202" i="23"/>
  <c r="R202" i="23"/>
  <c r="P202" i="23"/>
  <c r="J202" i="23"/>
  <c r="BE202" i="23" s="1"/>
  <c r="BK198" i="23"/>
  <c r="BK197" i="23" s="1"/>
  <c r="J197" i="23" s="1"/>
  <c r="J66" i="23" s="1"/>
  <c r="BI198" i="23"/>
  <c r="BH198" i="23"/>
  <c r="BG198" i="23"/>
  <c r="BF198" i="23"/>
  <c r="T198" i="23"/>
  <c r="T197" i="23" s="1"/>
  <c r="R198" i="23"/>
  <c r="P198" i="23"/>
  <c r="P197" i="23" s="1"/>
  <c r="J198" i="23"/>
  <c r="BE198" i="23" s="1"/>
  <c r="BK193" i="23"/>
  <c r="BI193" i="23"/>
  <c r="BH193" i="23"/>
  <c r="BG193" i="23"/>
  <c r="BF193" i="23"/>
  <c r="BE193" i="23"/>
  <c r="T193" i="23"/>
  <c r="R193" i="23"/>
  <c r="P193" i="23"/>
  <c r="J193" i="23"/>
  <c r="BK190" i="23"/>
  <c r="BI190" i="23"/>
  <c r="BH190" i="23"/>
  <c r="BG190" i="23"/>
  <c r="BF190" i="23"/>
  <c r="BE190" i="23"/>
  <c r="T190" i="23"/>
  <c r="R190" i="23"/>
  <c r="P190" i="23"/>
  <c r="J190" i="23"/>
  <c r="BK186" i="23"/>
  <c r="BI186" i="23"/>
  <c r="BH186" i="23"/>
  <c r="BG186" i="23"/>
  <c r="BF186" i="23"/>
  <c r="T186" i="23"/>
  <c r="R186" i="23"/>
  <c r="P186" i="23"/>
  <c r="J186" i="23"/>
  <c r="BE186" i="23" s="1"/>
  <c r="BK182" i="23"/>
  <c r="BI182" i="23"/>
  <c r="BH182" i="23"/>
  <c r="BG182" i="23"/>
  <c r="BF182" i="23"/>
  <c r="T182" i="23"/>
  <c r="R182" i="23"/>
  <c r="P182" i="23"/>
  <c r="J182" i="23"/>
  <c r="BE182" i="23" s="1"/>
  <c r="BK178" i="23"/>
  <c r="BI178" i="23"/>
  <c r="BH178" i="23"/>
  <c r="BG178" i="23"/>
  <c r="BF178" i="23"/>
  <c r="BE178" i="23"/>
  <c r="T178" i="23"/>
  <c r="R178" i="23"/>
  <c r="P178" i="23"/>
  <c r="J178" i="23"/>
  <c r="BK173" i="23"/>
  <c r="BI173" i="23"/>
  <c r="BH173" i="23"/>
  <c r="BG173" i="23"/>
  <c r="BF173" i="23"/>
  <c r="BE173" i="23"/>
  <c r="T173" i="23"/>
  <c r="R173" i="23"/>
  <c r="P173" i="23"/>
  <c r="J173" i="23"/>
  <c r="BK168" i="23"/>
  <c r="BI168" i="23"/>
  <c r="BH168" i="23"/>
  <c r="BG168" i="23"/>
  <c r="BF168" i="23"/>
  <c r="T168" i="23"/>
  <c r="R168" i="23"/>
  <c r="P168" i="23"/>
  <c r="J168" i="23"/>
  <c r="BE168" i="23" s="1"/>
  <c r="BK164" i="23"/>
  <c r="BI164" i="23"/>
  <c r="BH164" i="23"/>
  <c r="BG164" i="23"/>
  <c r="BF164" i="23"/>
  <c r="T164" i="23"/>
  <c r="R164" i="23"/>
  <c r="P164" i="23"/>
  <c r="J164" i="23"/>
  <c r="BE164" i="23" s="1"/>
  <c r="BK160" i="23"/>
  <c r="BI160" i="23"/>
  <c r="BH160" i="23"/>
  <c r="BG160" i="23"/>
  <c r="BF160" i="23"/>
  <c r="BE160" i="23"/>
  <c r="T160" i="23"/>
  <c r="R160" i="23"/>
  <c r="P160" i="23"/>
  <c r="J160" i="23"/>
  <c r="BK154" i="23"/>
  <c r="BI154" i="23"/>
  <c r="BH154" i="23"/>
  <c r="BG154" i="23"/>
  <c r="BF154" i="23"/>
  <c r="BE154" i="23"/>
  <c r="T154" i="23"/>
  <c r="R154" i="23"/>
  <c r="P154" i="23"/>
  <c r="J154" i="23"/>
  <c r="BK150" i="23"/>
  <c r="BI150" i="23"/>
  <c r="BH150" i="23"/>
  <c r="BG150" i="23"/>
  <c r="BF150" i="23"/>
  <c r="T150" i="23"/>
  <c r="R150" i="23"/>
  <c r="P150" i="23"/>
  <c r="J150" i="23"/>
  <c r="BE150" i="23" s="1"/>
  <c r="BK146" i="23"/>
  <c r="BI146" i="23"/>
  <c r="BH146" i="23"/>
  <c r="BG146" i="23"/>
  <c r="BF146" i="23"/>
  <c r="T146" i="23"/>
  <c r="R146" i="23"/>
  <c r="P146" i="23"/>
  <c r="J146" i="23"/>
  <c r="BE146" i="23" s="1"/>
  <c r="BK142" i="23"/>
  <c r="BI142" i="23"/>
  <c r="BH142" i="23"/>
  <c r="BG142" i="23"/>
  <c r="BF142" i="23"/>
  <c r="BE142" i="23"/>
  <c r="T142" i="23"/>
  <c r="R142" i="23"/>
  <c r="P142" i="23"/>
  <c r="J142" i="23"/>
  <c r="BK138" i="23"/>
  <c r="BI138" i="23"/>
  <c r="BH138" i="23"/>
  <c r="BG138" i="23"/>
  <c r="BF138" i="23"/>
  <c r="BE138" i="23"/>
  <c r="T138" i="23"/>
  <c r="R138" i="23"/>
  <c r="P138" i="23"/>
  <c r="J138" i="23"/>
  <c r="BK134" i="23"/>
  <c r="BI134" i="23"/>
  <c r="BH134" i="23"/>
  <c r="BG134" i="23"/>
  <c r="BF134" i="23"/>
  <c r="T134" i="23"/>
  <c r="R134" i="23"/>
  <c r="P134" i="23"/>
  <c r="J134" i="23"/>
  <c r="BE134" i="23" s="1"/>
  <c r="BK130" i="23"/>
  <c r="BI130" i="23"/>
  <c r="BH130" i="23"/>
  <c r="BG130" i="23"/>
  <c r="BF130" i="23"/>
  <c r="T130" i="23"/>
  <c r="R130" i="23"/>
  <c r="P130" i="23"/>
  <c r="J130" i="23"/>
  <c r="BE130" i="23" s="1"/>
  <c r="BK126" i="23"/>
  <c r="BI126" i="23"/>
  <c r="BH126" i="23"/>
  <c r="BG126" i="23"/>
  <c r="BF126" i="23"/>
  <c r="BE126" i="23"/>
  <c r="T126" i="23"/>
  <c r="R126" i="23"/>
  <c r="P126" i="23"/>
  <c r="J126" i="23"/>
  <c r="BK122" i="23"/>
  <c r="BI122" i="23"/>
  <c r="BH122" i="23"/>
  <c r="BG122" i="23"/>
  <c r="BF122" i="23"/>
  <c r="BE122" i="23"/>
  <c r="T122" i="23"/>
  <c r="R122" i="23"/>
  <c r="P122" i="23"/>
  <c r="J122" i="23"/>
  <c r="BK116" i="23"/>
  <c r="BI116" i="23"/>
  <c r="BH116" i="23"/>
  <c r="BG116" i="23"/>
  <c r="BF116" i="23"/>
  <c r="T116" i="23"/>
  <c r="R116" i="23"/>
  <c r="P116" i="23"/>
  <c r="J116" i="23"/>
  <c r="BE116" i="23" s="1"/>
  <c r="BK112" i="23"/>
  <c r="BI112" i="23"/>
  <c r="BH112" i="23"/>
  <c r="BG112" i="23"/>
  <c r="BF112" i="23"/>
  <c r="T112" i="23"/>
  <c r="R112" i="23"/>
  <c r="P112" i="23"/>
  <c r="J112" i="23"/>
  <c r="BE112" i="23" s="1"/>
  <c r="BK108" i="23"/>
  <c r="BI108" i="23"/>
  <c r="BH108" i="23"/>
  <c r="BG108" i="23"/>
  <c r="BF108" i="23"/>
  <c r="BE108" i="23"/>
  <c r="T108" i="23"/>
  <c r="R108" i="23"/>
  <c r="P108" i="23"/>
  <c r="J108" i="23"/>
  <c r="BK104" i="23"/>
  <c r="BK95" i="23" s="1"/>
  <c r="BI104" i="23"/>
  <c r="BH104" i="23"/>
  <c r="BG104" i="23"/>
  <c r="BF104" i="23"/>
  <c r="BE104" i="23"/>
  <c r="T104" i="23"/>
  <c r="R104" i="23"/>
  <c r="P104" i="23"/>
  <c r="J104" i="23"/>
  <c r="BK100" i="23"/>
  <c r="BI100" i="23"/>
  <c r="BH100" i="23"/>
  <c r="BG100" i="23"/>
  <c r="BF100" i="23"/>
  <c r="T100" i="23"/>
  <c r="R100" i="23"/>
  <c r="P100" i="23"/>
  <c r="P95" i="23" s="1"/>
  <c r="P94" i="23" s="1"/>
  <c r="P93" i="23" s="1"/>
  <c r="J100" i="23"/>
  <c r="BE100" i="23" s="1"/>
  <c r="BK96" i="23"/>
  <c r="BI96" i="23"/>
  <c r="BH96" i="23"/>
  <c r="BG96" i="23"/>
  <c r="F37" i="23" s="1"/>
  <c r="BF96" i="23"/>
  <c r="J36" i="23" s="1"/>
  <c r="T96" i="23"/>
  <c r="T95" i="23" s="1"/>
  <c r="R96" i="23"/>
  <c r="P96" i="23"/>
  <c r="J96" i="23"/>
  <c r="BE96" i="23" s="1"/>
  <c r="R95" i="23"/>
  <c r="F90" i="23"/>
  <c r="F89" i="23"/>
  <c r="F87" i="23"/>
  <c r="E85" i="23"/>
  <c r="F59" i="23"/>
  <c r="J58" i="23"/>
  <c r="F58" i="23"/>
  <c r="F56" i="23"/>
  <c r="E54" i="23"/>
  <c r="E50" i="23"/>
  <c r="J39" i="23"/>
  <c r="F39" i="23"/>
  <c r="J38" i="23"/>
  <c r="J37" i="23"/>
  <c r="J26" i="23"/>
  <c r="E26" i="23"/>
  <c r="J90" i="23" s="1"/>
  <c r="J25" i="23"/>
  <c r="J23" i="23"/>
  <c r="E23" i="23"/>
  <c r="J89" i="23" s="1"/>
  <c r="J22" i="23"/>
  <c r="J20" i="23"/>
  <c r="E20" i="23"/>
  <c r="J19" i="23"/>
  <c r="J14" i="23"/>
  <c r="J56" i="23" s="1"/>
  <c r="E7" i="23"/>
  <c r="E81" i="23" s="1"/>
  <c r="F38" i="23" l="1"/>
  <c r="R94" i="23"/>
  <c r="R93" i="23" s="1"/>
  <c r="J35" i="23"/>
  <c r="B14" i="1" s="1"/>
  <c r="F35" i="23"/>
  <c r="T94" i="23"/>
  <c r="T93" i="23" s="1"/>
  <c r="J95" i="23"/>
  <c r="J65" i="23" s="1"/>
  <c r="BK94" i="23"/>
  <c r="J87" i="23"/>
  <c r="F36" i="23"/>
  <c r="J59" i="23"/>
  <c r="BK93" i="23" l="1"/>
  <c r="J93" i="23" s="1"/>
  <c r="J94" i="23"/>
  <c r="J64" i="23" s="1"/>
  <c r="J63" i="23" l="1"/>
  <c r="J32" i="23"/>
  <c r="J41" i="23" l="1"/>
  <c r="B13" i="1"/>
  <c r="B15" i="1" s="1"/>
  <c r="H118" i="17"/>
  <c r="H117" i="17"/>
  <c r="H116" i="17"/>
  <c r="H119" i="17" s="1"/>
  <c r="H115" i="17"/>
  <c r="H111" i="17"/>
  <c r="H109" i="17"/>
  <c r="H113" i="17" s="1"/>
  <c r="H105" i="17"/>
  <c r="H103" i="17"/>
  <c r="H107" i="17" s="1"/>
  <c r="H100" i="17"/>
  <c r="H99" i="17"/>
  <c r="H97" i="17"/>
  <c r="H95" i="17"/>
  <c r="H93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5" i="17"/>
  <c r="H101" i="17" s="1"/>
  <c r="H71" i="17"/>
  <c r="H69" i="17"/>
  <c r="H67" i="17"/>
  <c r="H65" i="17"/>
  <c r="H64" i="17"/>
  <c r="H63" i="17"/>
  <c r="H62" i="17"/>
  <c r="H61" i="17"/>
  <c r="H60" i="17"/>
  <c r="H73" i="17" s="1"/>
  <c r="H57" i="17"/>
  <c r="H55" i="17"/>
  <c r="H53" i="17"/>
  <c r="H51" i="17"/>
  <c r="H49" i="17"/>
  <c r="H47" i="17"/>
  <c r="H45" i="17"/>
  <c r="H42" i="17"/>
  <c r="H40" i="17"/>
  <c r="H38" i="17"/>
  <c r="H58" i="17" s="1"/>
  <c r="H35" i="17"/>
  <c r="H33" i="17"/>
  <c r="H31" i="17"/>
  <c r="H30" i="17"/>
  <c r="H28" i="17"/>
  <c r="H26" i="17"/>
  <c r="H24" i="17"/>
  <c r="H22" i="17"/>
  <c r="H20" i="17"/>
  <c r="H36" i="17" s="1"/>
  <c r="H17" i="17"/>
  <c r="H15" i="17"/>
  <c r="A15" i="17"/>
  <c r="A17" i="17" s="1"/>
  <c r="A20" i="17" s="1"/>
  <c r="A22" i="17" s="1"/>
  <c r="A24" i="17" s="1"/>
  <c r="A26" i="17" s="1"/>
  <c r="A28" i="17" s="1"/>
  <c r="A30" i="17" s="1"/>
  <c r="A31" i="17" s="1"/>
  <c r="A33" i="17" s="1"/>
  <c r="A35" i="17" s="1"/>
  <c r="A38" i="17" s="1"/>
  <c r="A40" i="17" s="1"/>
  <c r="A42" i="17" s="1"/>
  <c r="A45" i="17" s="1"/>
  <c r="A47" i="17" s="1"/>
  <c r="A49" i="17" s="1"/>
  <c r="A51" i="17" s="1"/>
  <c r="A53" i="17" s="1"/>
  <c r="A55" i="17" s="1"/>
  <c r="A57" i="17" s="1"/>
  <c r="A60" i="17" s="1"/>
  <c r="A61" i="17" s="1"/>
  <c r="A62" i="17" s="1"/>
  <c r="A63" i="17" s="1"/>
  <c r="A64" i="17" s="1"/>
  <c r="A65" i="17" s="1"/>
  <c r="A67" i="17" s="1"/>
  <c r="A69" i="17" s="1"/>
  <c r="A71" i="17" s="1"/>
  <c r="A75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3" i="17" s="1"/>
  <c r="A95" i="17" s="1"/>
  <c r="A97" i="17" s="1"/>
  <c r="A99" i="17" s="1"/>
  <c r="A100" i="17" s="1"/>
  <c r="A103" i="17" s="1"/>
  <c r="A105" i="17" s="1"/>
  <c r="A109" i="17" s="1"/>
  <c r="A111" i="17" s="1"/>
  <c r="A115" i="17" s="1"/>
  <c r="A116" i="17" s="1"/>
  <c r="A117" i="17" s="1"/>
  <c r="A118" i="17" s="1"/>
  <c r="H13" i="17"/>
  <c r="A13" i="17"/>
  <c r="H12" i="17"/>
  <c r="A12" i="17"/>
  <c r="H18" i="17"/>
  <c r="H121" i="17" l="1"/>
  <c r="B25" i="1" s="1"/>
  <c r="H122" i="17" l="1"/>
  <c r="H123" i="17" l="1"/>
  <c r="B26" i="1"/>
  <c r="B27" i="1" s="1"/>
  <c r="E41" i="16"/>
  <c r="E40" i="16"/>
  <c r="E39" i="16"/>
  <c r="E38" i="16"/>
  <c r="E37" i="16"/>
  <c r="E36" i="16"/>
  <c r="E35" i="16"/>
  <c r="E33" i="16" s="1"/>
  <c r="E34" i="16"/>
  <c r="E32" i="16"/>
  <c r="E31" i="16"/>
  <c r="E30" i="16"/>
  <c r="E29" i="16"/>
  <c r="E28" i="16"/>
  <c r="E27" i="16"/>
  <c r="E26" i="16"/>
  <c r="C25" i="16"/>
  <c r="E25" i="16" s="1"/>
  <c r="C24" i="16"/>
  <c r="E24" i="16" s="1"/>
  <c r="E23" i="16"/>
  <c r="E22" i="16"/>
  <c r="E21" i="16"/>
  <c r="C19" i="16"/>
  <c r="E19" i="16" s="1"/>
  <c r="C18" i="16"/>
  <c r="E18" i="16" s="1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20" i="16" l="1"/>
  <c r="E4" i="16"/>
  <c r="E42" i="16" s="1"/>
  <c r="E43" i="16" l="1"/>
  <c r="B22" i="1" s="1"/>
  <c r="B21" i="1"/>
  <c r="E44" i="16" l="1"/>
  <c r="B23" i="1"/>
  <c r="B30" i="1" s="1"/>
  <c r="B29" i="1"/>
</calcChain>
</file>

<file path=xl/sharedStrings.xml><?xml version="1.0" encoding="utf-8"?>
<sst xmlns="http://schemas.openxmlformats.org/spreadsheetml/2006/main" count="5678" uniqueCount="1328">
  <si>
    <t>Rekapitulace nákladů projektu:</t>
  </si>
  <si>
    <t>Název stavby:</t>
  </si>
  <si>
    <t>Lokalita:</t>
  </si>
  <si>
    <t>Objednatel:</t>
  </si>
  <si>
    <t>Datum:</t>
  </si>
  <si>
    <t>Karlovy Vary, Sady Karla IV. - revitalizace veřejného prostranství</t>
  </si>
  <si>
    <t xml:space="preserve">Karlovy Vary </t>
  </si>
  <si>
    <t>Statutární město Karlovy Vary</t>
  </si>
  <si>
    <t xml:space="preserve"> 28.12.2023</t>
  </si>
  <si>
    <t>CELKEM BEZ DPH 21%</t>
  </si>
  <si>
    <t>CELKEM S DPH 21%</t>
  </si>
  <si>
    <t>SO 01 - Komunikace a zpevněné plochy - mlat</t>
  </si>
  <si>
    <t>SO 01A - Komunikace a zpevněné plochy - kostky</t>
  </si>
  <si>
    <t>SO 04 - Veřejné osvětlení</t>
  </si>
  <si>
    <t>SO 05 - Závlahový systém</t>
  </si>
  <si>
    <t>DPH 21%</t>
  </si>
  <si>
    <t>Výdaje projektu</t>
  </si>
  <si>
    <t>Položkový výpis prací - závlahový systém</t>
  </si>
  <si>
    <t>Akce:</t>
  </si>
  <si>
    <t>REKONSTRUKCE PARKU SADY KARLA IV.</t>
  </si>
  <si>
    <t>Název položky:</t>
  </si>
  <si>
    <t>PŘÍLOHA A</t>
  </si>
  <si>
    <t>Poř.</t>
  </si>
  <si>
    <t>Kód</t>
  </si>
  <si>
    <t>Popis</t>
  </si>
  <si>
    <t>MJ</t>
  </si>
  <si>
    <t>množství</t>
  </si>
  <si>
    <t>J.c. dodávka</t>
  </si>
  <si>
    <t>J.c. montáž</t>
  </si>
  <si>
    <t>Cena</t>
  </si>
  <si>
    <t>001</t>
  </si>
  <si>
    <t>ZVL</t>
  </si>
  <si>
    <t>ZÁVLAHOVÝ SYSTÉM</t>
  </si>
  <si>
    <t>Výkopové práce</t>
  </si>
  <si>
    <t>Hloubení rýh pro závlahy rýhovačem hloubky do 50 cm šířky do 15 cm délky do 400 m</t>
  </si>
  <si>
    <t>m</t>
  </si>
  <si>
    <t>Hloubení rýh pro závlahy rýhovačem hloubky do 30 cm šířky do 15 cm délky do 400 m</t>
  </si>
  <si>
    <t xml:space="preserve">Podsyp a obsyp potrubí - frakce 0 - 12 mm </t>
  </si>
  <si>
    <r>
      <t>m</t>
    </r>
    <r>
      <rPr>
        <vertAlign val="superscript"/>
        <sz val="9"/>
        <rFont val="Arial"/>
        <family val="2"/>
        <charset val="238"/>
      </rPr>
      <t>3</t>
    </r>
  </si>
  <si>
    <t>= 780*0,16*0,15</t>
  </si>
  <si>
    <t>Zásyp potrubí výkopkem včetně hutnění, v třídě těžitelnosti I., písčito hlinitá zemina</t>
  </si>
  <si>
    <t>= 120*0,16*0,35+660*0,16*0,2</t>
  </si>
  <si>
    <t>Ruční přesun hmot pro závlahy do 100 m</t>
  </si>
  <si>
    <t>t</t>
  </si>
  <si>
    <t>Potrubí a kabely</t>
  </si>
  <si>
    <t>Potrubí HDPE 100 PE 50x3,0 PN 10</t>
  </si>
  <si>
    <t>* m</t>
  </si>
  <si>
    <t xml:space="preserve">Včetně montáže potrubí v otevřeném výkopu </t>
  </si>
  <si>
    <t>Potrubí HDPE 100 PE 40x2,4 PN 10</t>
  </si>
  <si>
    <t>Potrubí LDPE 40 PE 32x2,9 PN6</t>
  </si>
  <si>
    <t>Soubor spojovacího materiálu pro PE potrubí (t kusy, spojky, přechodky, redukce, kolena)</t>
  </si>
  <si>
    <t>ks</t>
  </si>
  <si>
    <t>Včetně montáže svěrných tvarovek pro potrubí PE 32-50</t>
  </si>
  <si>
    <t>Kabel CYKY-J 2x2,5 metráž</t>
  </si>
  <si>
    <t>Včetně montáže kabelu kolem potrubí</t>
  </si>
  <si>
    <t>Chránička PVC KG 110 - délka 3 m</t>
  </si>
  <si>
    <t>Fólie výstražná s bleskem š. 22 cm, d. 50 m</t>
  </si>
  <si>
    <t>Včetně položení výstražné fólie do otevřeného výkopu</t>
  </si>
  <si>
    <t>Prostup stávající betonovou stěnou vodoměrné šachty</t>
  </si>
  <si>
    <t>Včetně zapravení</t>
  </si>
  <si>
    <t>Spárovací hmota, tuba 310 ml</t>
  </si>
  <si>
    <t>Řídící jednotka a elektroinstalace</t>
  </si>
  <si>
    <t>Včetně montáže jednotky na sloupek, spárování a nastavení spouštění sekcí</t>
  </si>
  <si>
    <t>Solární panel pro komunikační bránu</t>
  </si>
  <si>
    <t>Včetně držáku, montáže na sloupek a zapojení k bráně</t>
  </si>
  <si>
    <t>Sloupek - pozinkovaný svařenec z ocelové trubky 80x4 mm, délka 4 mm</t>
  </si>
  <si>
    <t>Včetně základu z betonu C20/25, instalace sloupku a protažení plastových chrániček</t>
  </si>
  <si>
    <t>Dle detailu - viz příloha 02</t>
  </si>
  <si>
    <t>Bateriová řídicí jednotka pro ovládání 1 hlavního ventilu, připojení přes LoRa</t>
  </si>
  <si>
    <t>Včetně montáže a nastavení řídicí jednotky závlahového systému bateriové venkovní vodotěsné - IP68 do 4 sekcí</t>
  </si>
  <si>
    <t>Bateriová říd. jedn. 6 stanic LoRa BT připojení</t>
  </si>
  <si>
    <t>Včetně montáže a nastavení řídicí jednotky závlahového systému bateriové venkovní vodotěsné - IP68 do 6 sekcí</t>
  </si>
  <si>
    <t>Bateriová říd. jedn. 4 stanice LoRa BT připojení</t>
  </si>
  <si>
    <t>Bateriový modul pro senzory 1 vstup LoRa BT připojení</t>
  </si>
  <si>
    <t>Čidlo vlhkosti půdy pro jednotku kabel 1,8 m</t>
  </si>
  <si>
    <t>Včetně montáže senzoru srážek připojeného kabelem</t>
  </si>
  <si>
    <t xml:space="preserve">Srážkoměr </t>
  </si>
  <si>
    <t>Kabel CYKY-J 3x1,5 metráž</t>
  </si>
  <si>
    <t>Elektromagnetické ventily</t>
  </si>
  <si>
    <t>Elektromagnetický ventil 1" vnější závit, cívka DC-9 V, s regulací průtoku, pracovní tlak do 12 bar</t>
  </si>
  <si>
    <t>Materiál pro instalaci elektromagnetického ventilu pro závlahový systém 1" včetně montáže</t>
  </si>
  <si>
    <t>Materiál pro instalaci sestavy tří elektromagnetických ventilů pro závlahový systém 1" včetně montáže</t>
  </si>
  <si>
    <t>Materiál pro instalaci sestavy čtyř elektromagnetických ventilů pro závlahový systém 1" včetně montáže</t>
  </si>
  <si>
    <t>Materiál pro instalaci sestavy pěti elektromagnetických ventilů pro závlahový systém 1" včetně montáže</t>
  </si>
  <si>
    <t>Regulátor tlaku pro kapkovou závlahu 7,5-75,6 l/min</t>
  </si>
  <si>
    <t>Včetně montáže regulátoru tlaku</t>
  </si>
  <si>
    <t>Kulový ventil vni x vni záv. 6/4"x6/4"</t>
  </si>
  <si>
    <t>Včetně montáže tvarovky s převlečnou maticí pro PE 32-40</t>
  </si>
  <si>
    <t>Přechodka 50x6/4" vni</t>
  </si>
  <si>
    <t>Přechodka 40x1" vni</t>
  </si>
  <si>
    <t>Závlahové prvky</t>
  </si>
  <si>
    <t>Postřikovač rozprašovací, vstup 1/2", výsuv 10 cm, bez trysky</t>
  </si>
  <si>
    <t>Včetně montáže, napojení pomocí třmenu na PE32, napojení na pružnou hadici a nastavení postřikovače 1/2"</t>
  </si>
  <si>
    <t>Tryska nastavitelná, dostřik 2,4 m, vněj. závit</t>
  </si>
  <si>
    <t>Tryska nastavitelná, dostřik 3,6 m, vněj. závit</t>
  </si>
  <si>
    <t>Tryska rotační, dostřik 4,0 m, 90-210°, vnější závit</t>
  </si>
  <si>
    <t>Tryska rotační, dostřik 5,5 m, 90-210°, vnější závit</t>
  </si>
  <si>
    <t>Tryska rotační, dostřik 5,5 m, 360°, vnější závit</t>
  </si>
  <si>
    <t>Tryska rotační, dostřik 8,5 m, 90-210°, vnější závit</t>
  </si>
  <si>
    <t>Tryska rotační, dostřik 8,5 m, 210-270°, vnější závit</t>
  </si>
  <si>
    <t>Tryska rotační, dostřik 8,5 m, 360°, vnější závit</t>
  </si>
  <si>
    <t>Tryska rotační, dostřik 4,0 m, 45-105°, vně. závit</t>
  </si>
  <si>
    <t>Tryska rotační, dostřik 1,5x4,6 m, levá výseč, vně. závit</t>
  </si>
  <si>
    <t>Tryska rotační, dostřik 1,5x4,6 m, pravá výseč, vně. závit</t>
  </si>
  <si>
    <t>Tryska rotační, dostřik 1,5x9,2 m, vně. závit</t>
  </si>
  <si>
    <t>Montáž a nastavení trysky pro postřikovač rozprašovací</t>
  </si>
  <si>
    <t>Samostahovací hadice 16 mm pro napojení postřikovače, klubo 30 m</t>
  </si>
  <si>
    <t>Kapénková hadice 16 mm, role 100 m, bez kompenzace tlaku, rozteč otvorů 33 cm,  průtok 2 l/h</t>
  </si>
  <si>
    <t>Včetně montáže kapkové hadice na povrchu - délka 100 m</t>
  </si>
  <si>
    <t>Fitinky pro kapkovou hadici (T kusy, spojky, zátky)</t>
  </si>
  <si>
    <t>soub</t>
  </si>
  <si>
    <t>Včetně montáže souboru spojovacího materiálu</t>
  </si>
  <si>
    <t>Plastový bodec pro připevnění hadice k půdě</t>
  </si>
  <si>
    <t>Včetně montáže bodce</t>
  </si>
  <si>
    <t>Rychlopřípojný ventil pro ruční závlahu 3/4“</t>
  </si>
  <si>
    <t>Včetně připojení pomocí mosazné přechodky a montáže</t>
  </si>
  <si>
    <t>Klíč k mosaznému rychlopříponému ventilu 3/4"</t>
  </si>
  <si>
    <t>Otočná koncovka pro  hydrant 3/4" x 3/4" mosaz RN</t>
  </si>
  <si>
    <t>Filtr, zazimovací sestava</t>
  </si>
  <si>
    <t>Filtr 6/4" plastový, lamelový, 130 mikron</t>
  </si>
  <si>
    <t>Včetně montáže filtru</t>
  </si>
  <si>
    <t>Sestava pro zazimování</t>
  </si>
  <si>
    <t>Včetně montáže sestavy zazimování</t>
  </si>
  <si>
    <t>Šachty</t>
  </si>
  <si>
    <t>Ventilová šachta zátěžová 64x50x30 cm</t>
  </si>
  <si>
    <t>Montáž ventilové šachty o rozměrech 64x50 cm</t>
  </si>
  <si>
    <t>Ventilová šachta velká zátěžová- prům. 32 cm</t>
  </si>
  <si>
    <t>Montáž ventilové šachty do průměru 32 cm</t>
  </si>
  <si>
    <t>Ostatní náklady</t>
  </si>
  <si>
    <t>Tlaková zkouška závlahového potrubí z LDPE nebo HDPE DN do 32</t>
  </si>
  <si>
    <t>Zprovoznění a odzkoušení závlahy přes 500 m2 zavlažované plochy</t>
  </si>
  <si>
    <t>Ostatní instalační a spotřební materiál</t>
  </si>
  <si>
    <t>Cena celkem bez DPH</t>
  </si>
  <si>
    <t>Cena celkem s DPH</t>
  </si>
  <si>
    <t>Revitalizace sady Karla IV. Karlovy Vary - VV veřejné osvětlení</t>
  </si>
  <si>
    <t>Elektroinstalace silnoproud</t>
  </si>
  <si>
    <t>položka</t>
  </si>
  <si>
    <t>mj</t>
  </si>
  <si>
    <t>počet</t>
  </si>
  <si>
    <t>JC</t>
  </si>
  <si>
    <t>celkem</t>
  </si>
  <si>
    <t>Svítidla</t>
  </si>
  <si>
    <r>
      <rPr>
        <b/>
        <sz val="11"/>
        <color theme="1"/>
        <rFont val="Calibri"/>
        <family val="2"/>
        <charset val="238"/>
        <scheme val="minor"/>
      </rPr>
      <t>svítidlo typ A</t>
    </r>
    <r>
      <rPr>
        <sz val="11"/>
        <color theme="1"/>
        <rFont val="Calibri"/>
        <family val="2"/>
        <charset val="238"/>
        <scheme val="minor"/>
      </rPr>
      <t xml:space="preserve"> - přemístění stávajících stožárů VO do nových pozic</t>
    </r>
  </si>
  <si>
    <r>
      <rPr>
        <b/>
        <sz val="11"/>
        <color theme="1"/>
        <rFont val="Calibri"/>
        <family val="2"/>
        <charset val="238"/>
        <scheme val="minor"/>
      </rPr>
      <t>svítidlo typ A</t>
    </r>
    <r>
      <rPr>
        <sz val="11"/>
        <color theme="1"/>
        <rFont val="Calibri"/>
        <family val="2"/>
        <charset val="238"/>
        <scheme val="minor"/>
      </rPr>
      <t xml:space="preserve"> - zrušení stávajících stožárů VO </t>
    </r>
  </si>
  <si>
    <t>zdroj - 50W LED 3000K</t>
  </si>
  <si>
    <t>montáž svítidel typ B</t>
  </si>
  <si>
    <t>montáž svítidel typ C</t>
  </si>
  <si>
    <t>montáž svítidel typ D</t>
  </si>
  <si>
    <r>
      <rPr>
        <b/>
        <sz val="11"/>
        <color theme="1"/>
        <rFont val="Calibri"/>
        <family val="2"/>
        <charset val="238"/>
        <scheme val="minor"/>
      </rPr>
      <t>svítidlo typ E</t>
    </r>
    <r>
      <rPr>
        <sz val="11"/>
        <color theme="1"/>
        <rFont val="Calibri"/>
        <family val="2"/>
        <charset val="238"/>
        <scheme val="minor"/>
      </rPr>
      <t xml:space="preserve"> - LED reflektor 20W 3000K (typ po domluvě s architekty)</t>
    </r>
  </si>
  <si>
    <t>montáž svítidel typ E</t>
  </si>
  <si>
    <t>recyklační polpatek</t>
  </si>
  <si>
    <t>zbudování základu pro stožárová svítidla (stožárové pouzdro)</t>
  </si>
  <si>
    <t>Montážní materiál</t>
  </si>
  <si>
    <t>kabel CYKY 5J/6  - napojeni stávajícho osvětlení ( přesuny lamp VO)</t>
  </si>
  <si>
    <t>kabel CYKY 5J/6  - napojeni nových stožáru VO</t>
  </si>
  <si>
    <t>kabel CYKY 3x2,5 - napojení nových zemních svítidel</t>
  </si>
  <si>
    <t>ohebná trubka KOPOFLEX 40mm</t>
  </si>
  <si>
    <t>kulatina FeZn 10mm</t>
  </si>
  <si>
    <t>svorky SU pro napojení kulatin v zemi</t>
  </si>
  <si>
    <t>kpl</t>
  </si>
  <si>
    <t>ochranný nátěr na zemní svorky</t>
  </si>
  <si>
    <t xml:space="preserve">ochranná smrštovací bužírka na přechod kulatiny ze země </t>
  </si>
  <si>
    <t>zbudování základů pro montáž svítidel typ D (velkoformátová dlažba pro ukotvení svítidla)</t>
  </si>
  <si>
    <t>zemní kabelová spojka pro CYKY 5J/6</t>
  </si>
  <si>
    <t>zemní kabelová spojka PAGURO 5695/3</t>
  </si>
  <si>
    <t>zemní kabelová spojka PAGURO 5660/4</t>
  </si>
  <si>
    <t>Ostatní</t>
  </si>
  <si>
    <t>napojení vývodů pro nové stožáry VO ze stávajících stožárů</t>
  </si>
  <si>
    <t>výstražná fólie do výkopu</t>
  </si>
  <si>
    <t>drobný montážní a kotvící materiál</t>
  </si>
  <si>
    <t>spolupráce a koordinace s ostatními profesemi, architekty a investorem</t>
  </si>
  <si>
    <t>hod</t>
  </si>
  <si>
    <t>ostatní blýže nespecifikovaný montážní materiál</t>
  </si>
  <si>
    <t xml:space="preserve">revizní zpráva elektro </t>
  </si>
  <si>
    <t xml:space="preserve">dokumetace skutečného provedení </t>
  </si>
  <si>
    <t>doprava/ubytování/parkovné</t>
  </si>
  <si>
    <t>Celkem bez DPH:</t>
  </si>
  <si>
    <t>Požadavky elektro na stavební práce</t>
  </si>
  <si>
    <t>Krycí list slepého rozpočtu</t>
  </si>
  <si>
    <t>IČO/DIČ:</t>
  </si>
  <si>
    <t/>
  </si>
  <si>
    <t>Druh stavby:</t>
  </si>
  <si>
    <t>Projektant:</t>
  </si>
  <si>
    <t>67611591/CZ7303074053</t>
  </si>
  <si>
    <t>Zhotovitel:</t>
  </si>
  <si>
    <t>Začátek výstavby:</t>
  </si>
  <si>
    <t>Konec výstavby:</t>
  </si>
  <si>
    <t>Položek:</t>
  </si>
  <si>
    <t>JKSO: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</si>
  <si>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</si>
  <si>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</si>
  <si>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</si>
  <si>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</si>
  <si>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</si>
  <si>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</si>
  <si>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</si>
  <si>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</si>
  <si>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</si>
  <si>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</si>
  <si>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Zařízení staveniště</t>
  </si>
  <si>
    <t>Montáž</t>
  </si>
  <si>
    <t>PSV</t>
  </si>
  <si>
    <t>"M"</t>
  </si>
  <si>
    <t>Ostatní materiál</t>
  </si>
  <si>
    <t>Přesun hmot a sutí</t>
  </si>
  <si>
    <t>ZRN celkem</t>
  </si>
  <si>
    <t>Základ 0%</t>
  </si>
  <si>
    <t>Celkem bez DPH</t>
  </si>
  <si>
    <t>Základ 21%</t>
  </si>
  <si>
    <t>Celkem včetně DPH</t>
  </si>
  <si>
    <t>Projektant</t>
  </si>
  <si>
    <t>Objednatel</t>
  </si>
  <si>
    <t>Zhotovitel</t>
  </si>
  <si>
    <t>Datum, razítko a podpis</t>
  </si>
  <si>
    <t>Poznámka:</t>
  </si>
  <si>
    <t>Slepý stavební rozpočet</t>
  </si>
  <si>
    <t>Karlovy Vary, Sady Karla IV.-revitalizace veřejného prostranství</t>
  </si>
  <si>
    <t>Doba výstavby:</t>
  </si>
  <si>
    <t xml:space="preserve"> </t>
  </si>
  <si>
    <t>Ing. Přemysl Krejčiřík, Ph.D.</t>
  </si>
  <si>
    <t>Karlovy Vary</t>
  </si>
  <si>
    <t> </t>
  </si>
  <si>
    <t>Zpracováno dne:</t>
  </si>
  <si>
    <t>18.12.2023</t>
  </si>
  <si>
    <t>Ing. Aneta Dalajková</t>
  </si>
  <si>
    <t>Č</t>
  </si>
  <si>
    <t>Zkrácený popis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</si>
  <si>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</si>
  <si>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</si>
  <si>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</si>
  <si>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</si>
  <si>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</si>
  <si>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</si>
  <si>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</si>
  <si>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</si>
  <si>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</si>
  <si>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</si>
  <si>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</si>
  <si>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</si>
  <si>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</si>
  <si>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</si>
  <si>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</si>
  <si>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</si>
  <si>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</si>
  <si>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</si>
  <si>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</si>
  <si>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</si>
  <si>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</si>
  <si>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</si>
  <si>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</si>
  <si>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</si>
  <si>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</si>
  <si>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</si>
  <si>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01</t>
  </si>
  <si>
    <t>1</t>
  </si>
  <si>
    <t>m2</t>
  </si>
  <si>
    <t>RTS I / 2023</t>
  </si>
  <si>
    <t>11_</t>
  </si>
  <si>
    <t>01_1_</t>
  </si>
  <si>
    <t>01_</t>
  </si>
  <si>
    <t>2</t>
  </si>
  <si>
    <t>kus</t>
  </si>
  <si>
    <t>3</t>
  </si>
  <si>
    <t>4</t>
  </si>
  <si>
    <t>5</t>
  </si>
  <si>
    <t>6</t>
  </si>
  <si>
    <t>7</t>
  </si>
  <si>
    <t>8</t>
  </si>
  <si>
    <t>9</t>
  </si>
  <si>
    <t>16</t>
  </si>
  <si>
    <t>Přemístění výkopku</t>
  </si>
  <si>
    <t>10</t>
  </si>
  <si>
    <t>16_</t>
  </si>
  <si>
    <t>12</t>
  </si>
  <si>
    <t>13</t>
  </si>
  <si>
    <t>14</t>
  </si>
  <si>
    <t>15</t>
  </si>
  <si>
    <t>17</t>
  </si>
  <si>
    <t>soubor</t>
  </si>
  <si>
    <t>18</t>
  </si>
  <si>
    <t>19</t>
  </si>
  <si>
    <t>H23</t>
  </si>
  <si>
    <t>Plochy a úpravy území</t>
  </si>
  <si>
    <t>20</t>
  </si>
  <si>
    <t>998231311R00</t>
  </si>
  <si>
    <t>Přesun hmot pro sadovnické a krajin. úpravy do 5km</t>
  </si>
  <si>
    <t>H23_</t>
  </si>
  <si>
    <t>01_9_</t>
  </si>
  <si>
    <t>S0</t>
  </si>
  <si>
    <t>Přesuny sutí</t>
  </si>
  <si>
    <t>21</t>
  </si>
  <si>
    <t>m3</t>
  </si>
  <si>
    <t>S0_</t>
  </si>
  <si>
    <t>22</t>
  </si>
  <si>
    <t>23</t>
  </si>
  <si>
    <t>0</t>
  </si>
  <si>
    <t>Z99999_</t>
  </si>
  <si>
    <t>02</t>
  </si>
  <si>
    <t>24</t>
  </si>
  <si>
    <t>02_1_</t>
  </si>
  <si>
    <t>02_</t>
  </si>
  <si>
    <t>25</t>
  </si>
  <si>
    <t>162701105RT3</t>
  </si>
  <si>
    <t>Povrchové úpravy terénu</t>
  </si>
  <si>
    <t>26</t>
  </si>
  <si>
    <t>18_</t>
  </si>
  <si>
    <t>27</t>
  </si>
  <si>
    <t>28</t>
  </si>
  <si>
    <t>29</t>
  </si>
  <si>
    <t>30</t>
  </si>
  <si>
    <t>31</t>
  </si>
  <si>
    <t>185851121</t>
  </si>
  <si>
    <t>RTS II / 2023</t>
  </si>
  <si>
    <t>32</t>
  </si>
  <si>
    <t>33</t>
  </si>
  <si>
    <t>34</t>
  </si>
  <si>
    <t>02_9_</t>
  </si>
  <si>
    <t>35</t>
  </si>
  <si>
    <t>36</t>
  </si>
  <si>
    <t>10371500</t>
  </si>
  <si>
    <t>Substrát nerašelinového typu (např.směs odplevelené ornice a kompostu)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</si>
  <si>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</si>
  <si>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</si>
  <si>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</si>
  <si>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</si>
  <si>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</si>
  <si>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</si>
  <si>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</si>
  <si>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</si>
  <si>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</si>
  <si>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</si>
  <si>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</si>
  <si>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08231320</t>
  </si>
  <si>
    <t>48</t>
  </si>
  <si>
    <t>03</t>
  </si>
  <si>
    <t>49</t>
  </si>
  <si>
    <t>03_1_</t>
  </si>
  <si>
    <t>03_</t>
  </si>
  <si>
    <t>50</t>
  </si>
  <si>
    <t>122207111R00</t>
  </si>
  <si>
    <t>51</t>
  </si>
  <si>
    <t>Konstrukce ze zemin</t>
  </si>
  <si>
    <t>52</t>
  </si>
  <si>
    <t>171101101R00</t>
  </si>
  <si>
    <t>17_</t>
  </si>
  <si>
    <t>53</t>
  </si>
  <si>
    <t>181101102R00</t>
  </si>
  <si>
    <t>54</t>
  </si>
  <si>
    <t>55</t>
  </si>
  <si>
    <t>56</t>
  </si>
  <si>
    <t>57</t>
  </si>
  <si>
    <t>58</t>
  </si>
  <si>
    <t>59</t>
  </si>
  <si>
    <t>60</t>
  </si>
  <si>
    <t>03_9_</t>
  </si>
  <si>
    <t>61</t>
  </si>
  <si>
    <t>62</t>
  </si>
  <si>
    <t>03_Z_</t>
  </si>
  <si>
    <t>63</t>
  </si>
  <si>
    <t>64</t>
  </si>
  <si>
    <t>65</t>
  </si>
  <si>
    <t>66</t>
  </si>
  <si>
    <t>67</t>
  </si>
  <si>
    <t>68</t>
  </si>
  <si>
    <t>69</t>
  </si>
  <si>
    <t>04</t>
  </si>
  <si>
    <t>70</t>
  </si>
  <si>
    <t>04_1_</t>
  </si>
  <si>
    <t>04_</t>
  </si>
  <si>
    <t>71</t>
  </si>
  <si>
    <t>72</t>
  </si>
  <si>
    <t>73</t>
  </si>
  <si>
    <t>Odkopávky a prokopávky</t>
  </si>
  <si>
    <t>74</t>
  </si>
  <si>
    <t>12_</t>
  </si>
  <si>
    <t>75</t>
  </si>
  <si>
    <t>182303111RR</t>
  </si>
  <si>
    <t>76</t>
  </si>
  <si>
    <t>77</t>
  </si>
  <si>
    <t>181006111R00</t>
  </si>
  <si>
    <t>Rozprostření substrátů v rov./sklonu 1:5, tl. do 10 cm</t>
  </si>
  <si>
    <t>78</t>
  </si>
  <si>
    <t>79</t>
  </si>
  <si>
    <t>80</t>
  </si>
  <si>
    <t>81</t>
  </si>
  <si>
    <t>82</t>
  </si>
  <si>
    <t>83</t>
  </si>
  <si>
    <t>04_9_</t>
  </si>
  <si>
    <t>04_Z_</t>
  </si>
  <si>
    <t>91</t>
  </si>
  <si>
    <t>05</t>
  </si>
  <si>
    <t>05_1_</t>
  </si>
  <si>
    <t>05_</t>
  </si>
  <si>
    <t>05_9_</t>
  </si>
  <si>
    <t>05_Z_</t>
  </si>
  <si>
    <t>Celkem:</t>
  </si>
  <si>
    <t xml:space="preserve">CELKEM BEZ DPH </t>
  </si>
  <si>
    <t>SO 01 Komunikace a zpevněné plochy-mlat</t>
  </si>
  <si>
    <t>Asanace plochy z nestmeleného kameniva</t>
  </si>
  <si>
    <t>113107631R00</t>
  </si>
  <si>
    <t>Odstranění podkladu nad 50 m2, kam.drcené tl. 310 mm</t>
  </si>
  <si>
    <t>998222011R00</t>
  </si>
  <si>
    <t>Přesun hmot, pozemní komunikace, kryt z kameniva</t>
  </si>
  <si>
    <t>979083R</t>
  </si>
  <si>
    <t>Vodorovné přemístění suti na skládku do 20000 m, vč. naložení na dopr. prostředek do 12 t a složení (821 m3 x 2,2 t/m3)</t>
  </si>
  <si>
    <t>979999998R00</t>
  </si>
  <si>
    <t>Poplatek za skládku suti 5% příměsí</t>
  </si>
  <si>
    <t>Asanace kostky uvnitř parku</t>
  </si>
  <si>
    <t>113106222R00</t>
  </si>
  <si>
    <t>Rozebrání dlažeb z drobných kostek</t>
  </si>
  <si>
    <t>113107624R00</t>
  </si>
  <si>
    <t>Odstranění podkladu nad 50 m2,kam.drcené tl. 240 mm</t>
  </si>
  <si>
    <t>Vodorovné přemístění vyb. hmot do 20000 m, vč. naložení na dopr. prostředek do 12 t a složení</t>
  </si>
  <si>
    <t>Příprava staveniště</t>
  </si>
  <si>
    <t>111_100VD</t>
  </si>
  <si>
    <t>Vytýčení stávajících inženýrských sítí</t>
  </si>
  <si>
    <t>Vytýčení navrhovaných technických prvků  (cesty, zídky, záhony, technické prvky)</t>
  </si>
  <si>
    <t>Odkopávky při pozemkové úpravě nezapaž. - modelace terénu kolem sochy - 27 m2x0,3m</t>
  </si>
  <si>
    <t>Úprava pláně v zářezech v hor. 1-4, se zhutněním</t>
  </si>
  <si>
    <t>Odkopávky při pozemkové úpravě nezapaž. - výkopové práce v rámci elektro(300 mx0,5mx0,5m)</t>
  </si>
  <si>
    <t>Po uložení kabeláže bude zemina navrácena zpět.</t>
  </si>
  <si>
    <t>Úprava pláně v zářezech v hor. 1-4, se zhutněním - v rámci elektro</t>
  </si>
  <si>
    <t>167101102R00</t>
  </si>
  <si>
    <t>Nakládání výkopku z hor.1-4 v množství nad 100 m3</t>
  </si>
  <si>
    <t>162701105R00</t>
  </si>
  <si>
    <t>Vodorovné přemístění výkopku z hor.1-4 do 10000 m (8 m3 x koef. nakypření 1,22)</t>
  </si>
  <si>
    <t>199000002R00</t>
  </si>
  <si>
    <t>Poplatek za skládku zeminy</t>
  </si>
  <si>
    <t>200_016VD</t>
  </si>
  <si>
    <t>Instalace obruby z ocelové pásoviny; 5/100/3000 mm (včetně ohýbání a svařování dílů, zatlučení a přivaření roxorů)</t>
  </si>
  <si>
    <t>bm</t>
  </si>
  <si>
    <t>184807111R00</t>
  </si>
  <si>
    <t>Ochrana stromu při stavební činnosti bedněním - zřízení (ochrana kmene stromů a keřových skupin)</t>
  </si>
  <si>
    <t>8 stromů - 4 m x 1,6 m x 8ks = 51,2 m2</t>
  </si>
  <si>
    <t>184807112R00</t>
  </si>
  <si>
    <t>Ochrana stromu bedněním - odstranění (ochrana kmene stromů a keřových skupin)</t>
  </si>
  <si>
    <t>Základy</t>
  </si>
  <si>
    <t>275311114R00</t>
  </si>
  <si>
    <t>Beton základ. patek prostý z cem. portlad. C 12/15</t>
  </si>
  <si>
    <t>27_</t>
  </si>
  <si>
    <t>111_210VD</t>
  </si>
  <si>
    <t>Kovová obruba, ocelová pásovina 5/100/3000 mm + 15% přesahy</t>
  </si>
  <si>
    <t>111_211VD</t>
  </si>
  <si>
    <t>Roxor ocelový k ukotvení lemovky (12 mm průměr; 500 mm délka; 2ks/bm x 750 bm)</t>
  </si>
  <si>
    <t>Navaření roxorů po 0,5 m ( 2ks na běžný metr).</t>
  </si>
  <si>
    <t>Mlatový povrch, tl. 310 mm - pochozí</t>
  </si>
  <si>
    <t>11009RVD</t>
  </si>
  <si>
    <t>Laboratorní zkouška únosnosti a zhutnitelnosti zemní pláně</t>
  </si>
  <si>
    <t>Odkopávky při pozemkové úpravě nezapaž. (dle přiložených řezů v dokumentaci)</t>
  </si>
  <si>
    <t>Veškeré rozměry a výškové poměry musí být prověřeny před realizací na stavbě, kontrola autorským dozorem.</t>
  </si>
  <si>
    <t>Doplnění substrátu tl. do 10 cm v rovině ( podél mlatových cest 1,5 m)</t>
  </si>
  <si>
    <t>184807222R00</t>
  </si>
  <si>
    <t>Ochrana stromu při stav. činnosti - ofukování zeminy kolem kořenů vzduchovým rýčem (část koř. systému zasahující do projektovaného mlatového povrchu)</t>
  </si>
  <si>
    <t>Vodorovné přemístění výkopku z hor.1-4 do 10000 m (346 m3 x koef. nakypření 1,22)</t>
  </si>
  <si>
    <t>112_6VD</t>
  </si>
  <si>
    <t>Rovnoměrné promísení materiálu pro zřízení obrusné vrstvy, tl. 30 mm (1173 m2 x tl. 0,03 m x 1,05 koef. sléhavosti)</t>
  </si>
  <si>
    <t>Uložení sypaniny s rozprostřením ve vrstvách a zhutněním</t>
  </si>
  <si>
    <t>182951111R00</t>
  </si>
  <si>
    <t>Položení netkané textilie bez upevnění, s navlhčením( na odkryté kořeny)</t>
  </si>
  <si>
    <t>Kryty štěrkových a živičných pozemních komunikací a zpevněných ploch</t>
  </si>
  <si>
    <t>Dovoz vody pro navlhčení materiálu pro obrusnou vrstvu do 1000 m (cca 10l/m2)</t>
  </si>
  <si>
    <t>57_</t>
  </si>
  <si>
    <t>00011RVD</t>
  </si>
  <si>
    <t>Dovoz materiálu na staveniště vozidlem do 14 t, poplatek za 1 km</t>
  </si>
  <si>
    <t>km</t>
  </si>
  <si>
    <t>583417003</t>
  </si>
  <si>
    <t>Kamenivo drcené frakce 0-32, tl. 220 mm (1,80 t/271m3)</t>
  </si>
  <si>
    <t>583415004</t>
  </si>
  <si>
    <t>Kamenivo drcené frakce 0-16 , tl. 60 mm (1,65 t/74m3)</t>
  </si>
  <si>
    <t>583412006</t>
  </si>
  <si>
    <t>Kamenivo - přírodní minerální materiál fr. 0-5 béžové barvy, tl. 30 mm (1,65t/37m3)</t>
  </si>
  <si>
    <t>Voda pro zalití</t>
  </si>
  <si>
    <t>58530162.A</t>
  </si>
  <si>
    <t>Vápno bílé CL 90 nehašené (stabilizace podloží), vč. aplikace (3% z 1173 m2 x hl. 0,15 m = 5,3 m3 x objemová hmotnost 1200 kg/m3)</t>
  </si>
  <si>
    <t>58152190</t>
  </si>
  <si>
    <t>Písek křemičitý ostrohranný (stabilizace podloží), vč. aplikace - 1173 m2 x hl. 0,05 m x 1,45 t/m3</t>
  </si>
  <si>
    <t>67352006</t>
  </si>
  <si>
    <t>Geotextilie netkaná 500 g/m2, ochrana kořenového systému při výkopech v rámci mlatových cest</t>
  </si>
  <si>
    <t>Dosyp kolem mlatových cest 1,5 m.</t>
  </si>
  <si>
    <t>Lem z řezané žuly ( záhon A)</t>
  </si>
  <si>
    <t>Odkopávky při pozemkové úpravě nezapaž.(34 m2 x hl.0,3m)</t>
  </si>
  <si>
    <t>Vodorovné přemístění výkopku z hor.1-4 do 20000 m (10,2m3 x koef. nakypření 1,22)</t>
  </si>
  <si>
    <t>Poplatek za skládku</t>
  </si>
  <si>
    <t>Úprava pláně v zářezech, se zhutněním</t>
  </si>
  <si>
    <t>Doplňující konstrukce a práce na pozemních komunikacích a zpevněných plochách</t>
  </si>
  <si>
    <t>916661111RT5</t>
  </si>
  <si>
    <t>Osazení park. obrubníků do lože z C 16/20 s opěrou vč.materiálu, šířky 0,5 m</t>
  </si>
  <si>
    <t>91_</t>
  </si>
  <si>
    <t>043020RVD</t>
  </si>
  <si>
    <t>Dílenská dokumentace pro zhotovení oblouku z obrubníku</t>
  </si>
  <si>
    <t>58384100R</t>
  </si>
  <si>
    <t>Deska formátovaná (obruba), žula tl.10 cm, 0,5x0,5 m ( 34 m2) + 5% ztratné</t>
  </si>
  <si>
    <t>řezané na míru do oblouku dle výkresu, zpracováno na základě dílenské dokumentace</t>
  </si>
  <si>
    <t>Přesun hmot</t>
  </si>
  <si>
    <t>03_2_</t>
  </si>
  <si>
    <t>04_5_</t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</si>
  <si>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</si>
  <si>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</si>
  <si>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</si>
  <si>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</si>
  <si>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</si>
  <si>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</si>
  <si>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>Zadavatel:</t>
  </si>
  <si>
    <t>IČ:</t>
  </si>
  <si>
    <t>DIČ:</t>
  </si>
  <si>
    <t>Uchazeč:</t>
  </si>
  <si>
    <t>True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</si>
  <si>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</si>
  <si>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</si>
  <si>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</si>
  <si>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</si>
  <si>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</si>
  <si>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</si>
  <si>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</si>
  <si>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</si>
  <si>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</si>
  <si>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</si>
  <si>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</si>
  <si>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</si>
  <si>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</si>
  <si>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</si>
  <si>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Typ</t>
  </si>
  <si>
    <t>Náklady stavby celkem</t>
  </si>
  <si>
    <t>D</t>
  </si>
  <si>
    <t>STA</t>
  </si>
  <si>
    <t>Soupis</t>
  </si>
  <si>
    <t>{8860b57c-f553-4c8e-9700-c9022e66f5f9}</t>
  </si>
  <si>
    <t>VRN</t>
  </si>
  <si>
    <t>Vedlejší rozpočtové náklady</t>
  </si>
  <si>
    <t>{6bab629b-2877-44d8-a541-b96529de827c}</t>
  </si>
  <si>
    <t>KRYCÍ LIST SOUPISU PRACÍ</t>
  </si>
  <si>
    <t>Objekt:</t>
  </si>
  <si>
    <t>SO 101 - Silnice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</si>
  <si>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</si>
  <si>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</si>
  <si>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</si>
  <si>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</si>
  <si>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</si>
  <si>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</si>
  <si>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</si>
  <si>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</si>
  <si>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</si>
  <si>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</si>
  <si>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</si>
  <si>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</si>
  <si>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</si>
  <si>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</si>
  <si>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</si>
  <si>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</si>
  <si>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</si>
  <si>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</si>
  <si>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</si>
  <si>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</si>
  <si>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</si>
  <si>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</si>
  <si>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</si>
  <si>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</si>
  <si>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</si>
  <si>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</si>
  <si>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</si>
  <si>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</si>
  <si>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</si>
  <si>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</si>
  <si>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02</t>
  </si>
  <si>
    <t>699059498</t>
  </si>
  <si>
    <t>Online PSC</t>
  </si>
  <si>
    <t>https://podminky.urs.cz/item/CS_URS_2023_02/113106123</t>
  </si>
  <si>
    <t>VV</t>
  </si>
  <si>
    <t>"stávající zámk. dlažba tl.60mm" 10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</si>
  <si>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</si>
  <si>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</si>
  <si>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-1966207800</t>
  </si>
  <si>
    <t>https://podminky.urs.cz/item/CS_URS_2023_02/113106161</t>
  </si>
  <si>
    <t>"stávající kostka" 150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</si>
  <si>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</si>
  <si>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</si>
  <si>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-1410718797</t>
  </si>
  <si>
    <t>https://podminky.urs.cz/item/CS_URS_2023_02/113107123</t>
  </si>
  <si>
    <t>"odkop kce ŠD tl.300mm na ZÚ u mostu" 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</si>
  <si>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</si>
  <si>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</si>
  <si>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1086360793</t>
  </si>
  <si>
    <t>https://podminky.urs.cz/item/CS_URS_2023_02/113107142</t>
  </si>
  <si>
    <t>"asfalt tl.100mm na ZÚ u mostu" 12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</si>
  <si>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</si>
  <si>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</si>
  <si>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-161090053</t>
  </si>
  <si>
    <t>https://podminky.urs.cz/item/CS_URS_2023_02/113107162</t>
  </si>
  <si>
    <t>"odkop kce ŠD tl.200mm" 75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</si>
  <si>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</si>
  <si>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</si>
  <si>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1141902397</t>
  </si>
  <si>
    <t>https://podminky.urs.cz/item/CS_URS_2023_02/113107223</t>
  </si>
  <si>
    <t>"odkop kce ŠD tl.300mm chodník" 150</t>
  </si>
  <si>
    <t>"odkop kce ŠD tl.280mm chodník" 280</t>
  </si>
  <si>
    <t>Součet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</si>
  <si>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</si>
  <si>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</si>
  <si>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2131304334</t>
  </si>
  <si>
    <t>https://podminky.urs.cz/item/CS_URS_2023_02/113107225</t>
  </si>
  <si>
    <t>"odkop kce ŠD tl.450mm" 590+(0,6*95)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</si>
  <si>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</si>
  <si>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</si>
  <si>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-1440515863</t>
  </si>
  <si>
    <t>https://podminky.urs.cz/item/CS_URS_2023_02/113107230</t>
  </si>
  <si>
    <t>"podkladní beton tl.100mm chodník" 280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</si>
  <si>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</si>
  <si>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</si>
  <si>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702378020</t>
  </si>
  <si>
    <t>https://podminky.urs.cz/item/CS_URS_2023_02/113107241</t>
  </si>
  <si>
    <t>"stávající asfalt tl.20mm chodník" 280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</si>
  <si>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</si>
  <si>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</si>
  <si>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1854616998</t>
  </si>
  <si>
    <t>https://podminky.urs.cz/item/CS_URS_2023_02/113107324</t>
  </si>
  <si>
    <t>"odkop kce ŠD tl.340mm chodník" 10</t>
  </si>
  <si>
    <t>113154224</t>
  </si>
  <si>
    <t>Frézování živičného podkladu nebo krytu s naložením na dopravní prostředek plochy přes 500 do 1 000 m2 bez překážek v trase pruhu šířky do 1 m, tloušťky vrstvy 100 mm</t>
  </si>
  <si>
    <t>1073685525</t>
  </si>
  <si>
    <t>https://podminky.urs.cz/item/CS_URS_2023_02/113154224</t>
  </si>
  <si>
    <t>"stavající asf. kryt tl.100mm u obrub" 75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</si>
  <si>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</si>
  <si>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</si>
  <si>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-2134467128</t>
  </si>
  <si>
    <t>https://podminky.urs.cz/item/CS_URS_2023_02/113154234</t>
  </si>
  <si>
    <t>"stavající asf. kryt tl.100mm" 590</t>
  </si>
  <si>
    <t>113202111</t>
  </si>
  <si>
    <t>Vytrhání obrub s vybouráním lože, s přemístěním hmot na skládku na vzdálenost do 3 m nebo s naložením na dopravní prostředek z krajníků nebo obrubníků stojatých</t>
  </si>
  <si>
    <t>2066883686</t>
  </si>
  <si>
    <t>https://podminky.urs.cz/item/CS_URS_2023_02/113202111</t>
  </si>
  <si>
    <t>"stávající obruba" 95+120+15</t>
  </si>
  <si>
    <t>113203111</t>
  </si>
  <si>
    <t>Vytrhání obrub s vybouráním lože, s přemístěním hmot na skládku na vzdálenost do 3 m nebo s naložením na dopravní prostředek z dlažebních kostek</t>
  </si>
  <si>
    <t>-795104226</t>
  </si>
  <si>
    <t>https://podminky.urs.cz/item/CS_URS_2023_02/113203111</t>
  </si>
  <si>
    <t>"stávající kostka" 13+35+45</t>
  </si>
  <si>
    <t>122251104</t>
  </si>
  <si>
    <t>Odkopávky a prokopávky nezapažené strojně v hornině třídy těžitelnosti I skupiny 3 přes 100 do 500 m3</t>
  </si>
  <si>
    <t>-1123066693</t>
  </si>
  <si>
    <t>https://podminky.urs.cz/item/CS_URS_2023_02/122251104</t>
  </si>
  <si>
    <t>"odkop pro sanace tl.300mm" 0,3*(590+(95*0,6))</t>
  </si>
  <si>
    <t>"odkop pro nové kce tl.400mm" 0,4*7</t>
  </si>
  <si>
    <t>131251100</t>
  </si>
  <si>
    <t>Hloubení nezapažených jam a zářezů strojně s urovnáním dna do předepsaného profilu a spádu v hornině třídy těžitelnosti I skupiny 3 do 20 m3</t>
  </si>
  <si>
    <t>252704186</t>
  </si>
  <si>
    <t>https://podminky.urs.cz/item/CS_URS_2023_02/131251100</t>
  </si>
  <si>
    <t>"obnova DV" 4*((1,5*1,5*1,5)-(1,5*0,9))</t>
  </si>
  <si>
    <t>132251101</t>
  </si>
  <si>
    <t>Hloubení nezapažených rýh šířky do 800 mm strojně s urovnáním dna do předepsaného profilu a spádu v hornině třídy těžitelnosti I skupiny 3 do 20 m3</t>
  </si>
  <si>
    <t>-1845166495</t>
  </si>
  <si>
    <t>https://podminky.urs.cz/item/CS_URS_2023_02/132251101</t>
  </si>
  <si>
    <t>"rýha pro trativod" 0,12*120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</si>
  <si>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</si>
  <si>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</si>
  <si>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-1589813302</t>
  </si>
  <si>
    <t>https://podminky.urs.cz/item/CS_URS_2023_02/162751117</t>
  </si>
  <si>
    <t>předpokládaná skládka Vintířov 25km</t>
  </si>
  <si>
    <t>"odkop" 196,9+8,1+14,4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</si>
  <si>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</si>
  <si>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</si>
  <si>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-24648533</t>
  </si>
  <si>
    <t>https://podminky.urs.cz/item/CS_URS_2023_02/162751119</t>
  </si>
  <si>
    <t>15*219,4</t>
  </si>
  <si>
    <t>171201231</t>
  </si>
  <si>
    <t>Poplatek za uložení stavebního odpadu na recyklační skládce (skládkovné) zeminy a kamení zatříděného do Katalogu odpadů pod kódem 17 05 04</t>
  </si>
  <si>
    <t>-1523287237</t>
  </si>
  <si>
    <t>https://podminky.urs.cz/item/CS_URS_2023_02/171201231</t>
  </si>
  <si>
    <t>1,8*219,4</t>
  </si>
  <si>
    <t>171251201</t>
  </si>
  <si>
    <t>Uložení sypaniny na skládky nebo meziskládky bez hutnění s upravením uložené sypaniny do předepsaného tvaru</t>
  </si>
  <si>
    <t>1720209501</t>
  </si>
  <si>
    <t>https://podminky.urs.cz/item/CS_URS_2023_02/171251201</t>
  </si>
  <si>
    <t>219,4</t>
  </si>
  <si>
    <t>174151101</t>
  </si>
  <si>
    <t>Zásyp sypaninou z jakékoliv horniny strojně s uložením výkopku ve vrstvách se zhutněním jam, šachet, rýh nebo kolem objektů v těchto vykopávkách</t>
  </si>
  <si>
    <t>1546786162</t>
  </si>
  <si>
    <t>https://podminky.urs.cz/item/CS_URS_2023_02/174151101</t>
  </si>
  <si>
    <t>"obnova DV - ŠD" 4*((1,5*1,5*1,5)-(1,5*0,9))</t>
  </si>
  <si>
    <t>M</t>
  </si>
  <si>
    <t>58344171</t>
  </si>
  <si>
    <t>štěrkodrť frakce 0/32</t>
  </si>
  <si>
    <t>-605594435</t>
  </si>
  <si>
    <t>"obnova DV" 4*((1,5*1,5*1,5)-(1,5*0,9))*2</t>
  </si>
  <si>
    <t>181951112</t>
  </si>
  <si>
    <t>Úprava pláně vyrovnáním výškových rozdílů strojně v hornině třídy těžitelnosti I, skupiny 1 až 3 se zhutněním</t>
  </si>
  <si>
    <t>-1718602795</t>
  </si>
  <si>
    <t>https://podminky.urs.cz/item/CS_URS_2023_02/181951112</t>
  </si>
  <si>
    <t>590+75+12+(0,6*95)+447</t>
  </si>
  <si>
    <t>Zakládání</t>
  </si>
  <si>
    <t>211561111</t>
  </si>
  <si>
    <t>Výplň kamenivem do rýh odvodňovacích žeber nebo trativodů bez zhutnění, s úpravou povrchu výplně kamenivem hrubým drceným frakce 4 až 16 mm</t>
  </si>
  <si>
    <t>-523867630</t>
  </si>
  <si>
    <t>https://podminky.urs.cz/item/CS_URS_2023_02/211561111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</si>
  <si>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</si>
  <si>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</si>
  <si>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-701521296</t>
  </si>
  <si>
    <t>https://podminky.urs.cz/item/CS_URS_2023_02/211971121</t>
  </si>
  <si>
    <t xml:space="preserve">"trativod textilie 300g/m2 š.1,8m" 1,8*120 </t>
  </si>
  <si>
    <t>"drenážní žebro 300g/m2 š.0,9m" 0,9*(24*0,5)</t>
  </si>
  <si>
    <t>69311068</t>
  </si>
  <si>
    <t>geotextilie netkaná separační, ochranná, filtrační, drenážní PP 300g/m2</t>
  </si>
  <si>
    <t>-1928043162</t>
  </si>
  <si>
    <t>"sanace 300g/m2" 590+(0,6*95)</t>
  </si>
  <si>
    <t>873,8*1,1845 'Přepočtené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</si>
  <si>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</si>
  <si>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</si>
  <si>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2085739114</t>
  </si>
  <si>
    <t>https://podminky.urs.cz/item/CS_URS_2023_02/212752401</t>
  </si>
  <si>
    <t>"trativod DN 100" 120</t>
  </si>
  <si>
    <t>213141112</t>
  </si>
  <si>
    <t>Zřízení vrstvy z geotextilie filtrační, separační, odvodňovací, ochranné, výztužné nebo protierozní v rovině nebo ve sklonu do 1:5, šířky přes 3 do 6 m</t>
  </si>
  <si>
    <t>952856017</t>
  </si>
  <si>
    <t>https://podminky.urs.cz/item/CS_URS_2023_02/213141112</t>
  </si>
  <si>
    <t>Komunikace pozemní</t>
  </si>
  <si>
    <t>564851111</t>
  </si>
  <si>
    <t>Podklad ze štěrkodrti ŠD s rozprostřením a zhutněním plochy přes 100 m2, po zhutnění tl. 150 mm</t>
  </si>
  <si>
    <t>-2146059252</t>
  </si>
  <si>
    <t>https://podminky.urs.cz/item/CS_URS_2023_02/564851111</t>
  </si>
  <si>
    <t>"nová kce chodníku ŠDa 0/32" 2*(447+12)</t>
  </si>
  <si>
    <t>564861111</t>
  </si>
  <si>
    <t>Podklad ze štěrkodrti ŠD s rozprostřením a zhutněním plochy přes 100 m2, po zhutnění tl. 200 mm</t>
  </si>
  <si>
    <t>1893551109</t>
  </si>
  <si>
    <t>https://podminky.urs.cz/item/CS_URS_2023_02/564861111</t>
  </si>
  <si>
    <t>"nová kce vozovky ŠDa 0/32" 590+(0,6*95)</t>
  </si>
  <si>
    <t>564871116</t>
  </si>
  <si>
    <t>Podklad ze štěrkodrti ŠD s rozprostřením a zhutněním plochy přes 100 m2, po zhutnění tl. 300 mm</t>
  </si>
  <si>
    <t>-413939454</t>
  </si>
  <si>
    <t>https://podminky.urs.cz/item/CS_URS_2023_02/564871116</t>
  </si>
  <si>
    <t>"sanace ŠDa 0/32" 590+(0,6*95)</t>
  </si>
  <si>
    <t>567132115</t>
  </si>
  <si>
    <t>Podklad ze směsi stmelené cementem SC bez dilatačních spár, s rozprostřením a zhutněním SC C 8/10 (KSC I), po zhutnění tl. 200 mm</t>
  </si>
  <si>
    <t>-2088300034</t>
  </si>
  <si>
    <t>https://podminky.urs.cz/item/CS_URS_2023_02/567132115</t>
  </si>
  <si>
    <t>"nová kce napojení u obrub" 75</t>
  </si>
  <si>
    <t>567142111</t>
  </si>
  <si>
    <t>Podklad ze směsi stmelené cementem SC bez dilatačních spár, s rozprostřením a zhutněním SC C 8/10 (KSC I), po zhutnění tl. 210 mm</t>
  </si>
  <si>
    <t>-327079107</t>
  </si>
  <si>
    <t>https://podminky.urs.cz/item/CS_URS_2023_02/567142111</t>
  </si>
  <si>
    <t>"nová kce vozovky" 590+(0,6*95)</t>
  </si>
  <si>
    <t>573231106</t>
  </si>
  <si>
    <t>Postřik spojovací PS bez posypu kamenivem ze silniční emulze, v množství 0,30 kg/m2</t>
  </si>
  <si>
    <t>1636720729</t>
  </si>
  <si>
    <t>https://podminky.urs.cz/item/CS_URS_2023_02/573231106</t>
  </si>
  <si>
    <t>573231108</t>
  </si>
  <si>
    <t>Postřik spojovací PS bez posypu kamenivem ze silniční emulze, v množství 0,50 kg/m2</t>
  </si>
  <si>
    <t>204708756</t>
  </si>
  <si>
    <t>https://podminky.urs.cz/item/CS_URS_2023_02/573231108</t>
  </si>
  <si>
    <t>577134141.R</t>
  </si>
  <si>
    <t>Asfaltový beton vrstva obrusná ACO 11 (ABS) s rozprostřením a se zhutněním asfaltu tl. 40 mm - RUČNÍ POKLÁDKA</t>
  </si>
  <si>
    <t>-1364938886</t>
  </si>
  <si>
    <t>577155142.R</t>
  </si>
  <si>
    <t>Asfaltový beton vrstva ložní ACL 16 (ABH) s rozprostřením a se zhutněním po zhutnění tl. 60 mm - RUČNÍ POKLÁDKA</t>
  </si>
  <si>
    <t>1247497535</t>
  </si>
  <si>
    <t>591211111.1</t>
  </si>
  <si>
    <t>Kladení dlažby z kostek s provedením lože do tl. 50 mm, s vyplněním spár, s dvojím beraněním a se smetením přebytečného materiálu na krajnici drobných z kamene, do lože z kameniva těženého</t>
  </si>
  <si>
    <t>1823617969</t>
  </si>
  <si>
    <t>https://podminky.urs.cz/item/CS_URS_2023_02/591211111.1</t>
  </si>
  <si>
    <t>Výplň spár dlažby bude proveden pískem</t>
  </si>
  <si>
    <t>58381015</t>
  </si>
  <si>
    <t>kostka řezanoštípaná dlažební žula 10x10x10cm - BÉŽOVÁ</t>
  </si>
  <si>
    <t>-809153735</t>
  </si>
  <si>
    <t>590*1,02 'Přepočtené koeficientem množství</t>
  </si>
  <si>
    <t>591211111.2</t>
  </si>
  <si>
    <t>1746008228</t>
  </si>
  <si>
    <t>https://podminky.urs.cz/item/CS_URS_2023_02/591211111.2</t>
  </si>
  <si>
    <t>"nová kce chodníku do lože DK 4/8 tl.40mm" 392,5+6,3+36,2+24</t>
  </si>
  <si>
    <t>5838101.R</t>
  </si>
  <si>
    <t>kostka řezanoštípaná dlažební žula 6x6x6cm - BÉŽOVÁ</t>
  </si>
  <si>
    <t>-2045978411</t>
  </si>
  <si>
    <t>392,5*1,02 'Přepočtené koeficientem množství</t>
  </si>
  <si>
    <t>5838102.R</t>
  </si>
  <si>
    <t>kostka řezanoštípaná dlažební žula 20x20x6cm - SLEPECKÁ SVĚTLÁ</t>
  </si>
  <si>
    <t>-1238403556</t>
  </si>
  <si>
    <t>6,3*1,02 'Přepočtené koeficientem množství</t>
  </si>
  <si>
    <t>5838103.R</t>
  </si>
  <si>
    <t>kostka řezanoštípaná dlažební žula 20x20x6cm - HLADKÁ TMAVÁ</t>
  </si>
  <si>
    <t>1223256431</t>
  </si>
  <si>
    <t>36,2*1,02 'Přepočtené koeficientem množství</t>
  </si>
  <si>
    <t>5838104.R</t>
  </si>
  <si>
    <t>kostka řezanoštípaná dlažební žula 20x20x6cm - VODÍCÍ LINIE</t>
  </si>
  <si>
    <t>277072884</t>
  </si>
  <si>
    <t>24*1,02 'Přepočtené koeficientem množství</t>
  </si>
  <si>
    <t>Trubní vedení</t>
  </si>
  <si>
    <t>8959.R</t>
  </si>
  <si>
    <t>Vybourání stávající DV</t>
  </si>
  <si>
    <t>-1478686672</t>
  </si>
  <si>
    <t>"obnova DV včetně naložení" 4</t>
  </si>
  <si>
    <t>8959411.R</t>
  </si>
  <si>
    <t>Zřízení vpusti kanalizační uliční z betonových dílců typ UV-50 normální</t>
  </si>
  <si>
    <t>1784759277</t>
  </si>
  <si>
    <t>"včetně dodání bet. dílců a pročištění přípojky" 4</t>
  </si>
  <si>
    <t>899203211</t>
  </si>
  <si>
    <t>Demontáž mříží litinových včetně rámů, hmotnosti jednotlivě přes 100 do 150 Kg</t>
  </si>
  <si>
    <t>1149977950</t>
  </si>
  <si>
    <t>https://podminky.urs.cz/item/CS_URS_2023_02/899203211</t>
  </si>
  <si>
    <t>"obnova DV" 4</t>
  </si>
  <si>
    <t>899204112</t>
  </si>
  <si>
    <t>Osazení mříží litinových včetně rámů a košů na bahno pro třídu zatížení D400, E600</t>
  </si>
  <si>
    <t>-146530003</t>
  </si>
  <si>
    <t>https://podminky.urs.cz/item/CS_URS_2023_02/899204112</t>
  </si>
  <si>
    <t>55241040</t>
  </si>
  <si>
    <t>mříž litinová 600/40T, 420X620 D400</t>
  </si>
  <si>
    <t>-1336503177</t>
  </si>
  <si>
    <t>55241001</t>
  </si>
  <si>
    <t>koš kalový pod kruhovou mříž - těžký</t>
  </si>
  <si>
    <t>1486716392</t>
  </si>
  <si>
    <t>899231111</t>
  </si>
  <si>
    <t>Výšková úprava uličního vstupu nebo vpusti do 200 mm zvýšením mříže</t>
  </si>
  <si>
    <t>-2114429874</t>
  </si>
  <si>
    <t>899331111</t>
  </si>
  <si>
    <t>Výšková úprava uličního vstupu nebo vpusti do 200 mm zvýšením poklopu</t>
  </si>
  <si>
    <t>1571336349</t>
  </si>
  <si>
    <t>Ostatní konstrukce a práce, bourání</t>
  </si>
  <si>
    <t>914111111</t>
  </si>
  <si>
    <t>Montáž svislé dopravní značky základní velikosti do 1 m2 objímkami na sloupky nebo konzoly</t>
  </si>
  <si>
    <t>176935029</t>
  </si>
  <si>
    <t>https://podminky.urs.cz/item/CS_URS_2023_02/914111111</t>
  </si>
  <si>
    <t>"E13" 1</t>
  </si>
  <si>
    <t>"IP13b" 1</t>
  </si>
  <si>
    <t>"IJ4b" 1</t>
  </si>
  <si>
    <t>40445625</t>
  </si>
  <si>
    <t>informativní značky provozní IP8, IP9, IP11-IP13 500x700mm</t>
  </si>
  <si>
    <t>-1853640976</t>
  </si>
  <si>
    <t>40445645</t>
  </si>
  <si>
    <t>informativní značky jiné IJ4b 500mm</t>
  </si>
  <si>
    <t>-868355189</t>
  </si>
  <si>
    <t>40445650</t>
  </si>
  <si>
    <t>dodatkové tabulky E7, E12, E13 500x300mm</t>
  </si>
  <si>
    <t>-1772531897</t>
  </si>
  <si>
    <t>914111121</t>
  </si>
  <si>
    <t>Montáž svislé dopravní značky základní velikosti do 2 m2 objímkami na sloupky nebo konzoly</t>
  </si>
  <si>
    <t>1031730114</t>
  </si>
  <si>
    <t>https://podminky.urs.cz/item/CS_URS_2023_02/914111121</t>
  </si>
  <si>
    <t>"IZ8a" 1</t>
  </si>
  <si>
    <t>"IZ8b" 1</t>
  </si>
  <si>
    <t>40445655</t>
  </si>
  <si>
    <t>informativní značky zónové IZ6, IZ7 1000x1500mm</t>
  </si>
  <si>
    <t>-663176769</t>
  </si>
  <si>
    <t>914511112</t>
  </si>
  <si>
    <t>Montáž sloupku dopravních značek délky do 3,5 m do hliníkové patky pro sloupek D 60 mm</t>
  </si>
  <si>
    <t>2112766829</t>
  </si>
  <si>
    <t>https://podminky.urs.cz/item/CS_URS_2023_02/914511112</t>
  </si>
  <si>
    <t>"nové sloupky DZ" 4</t>
  </si>
  <si>
    <t>40445225</t>
  </si>
  <si>
    <t>sloupek pro dopravní značku Zn D 60mm v 3,5m</t>
  </si>
  <si>
    <t>-898215015</t>
  </si>
  <si>
    <t>40445240</t>
  </si>
  <si>
    <t>patka pro sloupek Al D 60mm</t>
  </si>
  <si>
    <t>1829582285</t>
  </si>
  <si>
    <t>40445256</t>
  </si>
  <si>
    <t>svorka upínací na sloupek dopravní značky D 60mm</t>
  </si>
  <si>
    <t>-2028878902</t>
  </si>
  <si>
    <t>40445253</t>
  </si>
  <si>
    <t>víčko plastové na sloupek D 60mm</t>
  </si>
  <si>
    <t>1187842982</t>
  </si>
  <si>
    <t>915211112</t>
  </si>
  <si>
    <t>Vodorovné dopravní značení stříkaným plastem dělící čára šířky 125 mm souvislá bílá retroreflexní</t>
  </si>
  <si>
    <t>-369712229</t>
  </si>
  <si>
    <t>https://podminky.urs.cz/item/CS_URS_2023_02/915211112</t>
  </si>
  <si>
    <t>"V10e - bez zvučícího efektu" 63</t>
  </si>
  <si>
    <t>915231112</t>
  </si>
  <si>
    <t>Vodorovné dopravní značení stříkaným plastem přechody pro chodce, šipky, symboly nápisy bílé retroreflexní</t>
  </si>
  <si>
    <t>823416466</t>
  </si>
  <si>
    <t>https://podminky.urs.cz/item/CS_URS_2023_02/915231112</t>
  </si>
  <si>
    <t>"V11a - bez zvučícího efektu" 10</t>
  </si>
  <si>
    <t>915611111</t>
  </si>
  <si>
    <t>Předznačení pro vodorovné značení stříkané barvou nebo prováděné z nátěrových hmot liniové dělicí čáry, vodicí proužky</t>
  </si>
  <si>
    <t>-441575697</t>
  </si>
  <si>
    <t>https://podminky.urs.cz/item/CS_URS_2023_02/915611111</t>
  </si>
  <si>
    <t>915621111</t>
  </si>
  <si>
    <t>Předznačení pro vodorovné značení stříkané barvou nebo prováděné z nátěrových hmot plošné šipky, symboly, nápisy</t>
  </si>
  <si>
    <t>10028781</t>
  </si>
  <si>
    <t>https://podminky.urs.cz/item/CS_URS_2023_02/915621111</t>
  </si>
  <si>
    <t>916241213</t>
  </si>
  <si>
    <t>Osazení obrubníku kamenného se zřízením lože, s vyplněním a zatřením spár cementovou maltou stojatého s boční opěrou z betonu prostého, do lože z betonu prostého</t>
  </si>
  <si>
    <t>353223397</t>
  </si>
  <si>
    <t>https://podminky.urs.cz/item/CS_URS_2023_02/916241213</t>
  </si>
  <si>
    <t>"nová obruba - výškové osazení dle PD" 96+134+15+102</t>
  </si>
  <si>
    <t>5838031.R</t>
  </si>
  <si>
    <t>obrubník kamenný žulový 500x500x120mm</t>
  </si>
  <si>
    <t>678800936</t>
  </si>
  <si>
    <t>včetně řezání v předepsaných poloměrech</t>
  </si>
  <si>
    <t>"96+3%" 99</t>
  </si>
  <si>
    <t>5838032.R</t>
  </si>
  <si>
    <t>obrubník kamenný žulový 500x250x120mm</t>
  </si>
  <si>
    <t>404281698</t>
  </si>
  <si>
    <t>"134+3%" 139</t>
  </si>
  <si>
    <t>5838033.R</t>
  </si>
  <si>
    <t>obrubník kamenný žulový 500x250x250mm</t>
  </si>
  <si>
    <t>-1791015621</t>
  </si>
  <si>
    <t>"15+3%" 16</t>
  </si>
  <si>
    <t>5838034.R</t>
  </si>
  <si>
    <t>obrubník kamenný žulový 500x200x100mm</t>
  </si>
  <si>
    <t>-1749316713</t>
  </si>
  <si>
    <t>"102+3%" 106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</si>
  <si>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</si>
  <si>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</si>
  <si>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-357448589</t>
  </si>
  <si>
    <t>https://podminky.urs.cz/item/CS_URS_2023_02/919732211</t>
  </si>
  <si>
    <t>"zařezání v místech napojení a u výměny obrub" 6+4,6+27,1+150,5</t>
  </si>
  <si>
    <t>919735112</t>
  </si>
  <si>
    <t>Řezání stávajícího živičného krytu nebo podkladu hloubky přes 50 do 100 mm</t>
  </si>
  <si>
    <t>-1998720998</t>
  </si>
  <si>
    <t>https://podminky.urs.cz/item/CS_URS_2023_02/919735112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</si>
  <si>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</si>
  <si>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</si>
  <si>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-72213957</t>
  </si>
  <si>
    <t>https://podminky.urs.cz/item/CS_URS_2023_02/966006132</t>
  </si>
  <si>
    <t>"stávající sloupky DZ" 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</si>
  <si>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</si>
  <si>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</si>
  <si>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2003620494</t>
  </si>
  <si>
    <t>https://podminky.urs.cz/item/CS_URS_2023_02/966006211</t>
  </si>
  <si>
    <t>"stávající SDZ" 5</t>
  </si>
  <si>
    <t>997</t>
  </si>
  <si>
    <t>Přesun sutě</t>
  </si>
  <si>
    <t>997013861</t>
  </si>
  <si>
    <t>Poplatek za uložení stavebního odpadu na recyklační skládce (skládkovné) z prostého betonu zatříděného do Katalogu odpadů pod kódem 17 01 01</t>
  </si>
  <si>
    <t>-1305185449</t>
  </si>
  <si>
    <t>https://podminky.urs.cz/item/CS_URS_2023_02/997013861</t>
  </si>
  <si>
    <t>6+1,32+61,6+47,15+10,695+0,27</t>
  </si>
  <si>
    <t>997013873</t>
  </si>
  <si>
    <t>-1144665741</t>
  </si>
  <si>
    <t>https://podminky.urs.cz/item/CS_URS_2023_02/997013873</t>
  </si>
  <si>
    <t>30+7,2+30+90+156,8+582,3+6,8</t>
  </si>
  <si>
    <t>997013875</t>
  </si>
  <si>
    <t>Poplatek za uložení stavebního odpadu na recyklační skládce (skládkovné) asfaltového bez obsahu dehtu zatříděného do Katalogu odpadů pod kódem 17 03 02</t>
  </si>
  <si>
    <t>783649685</t>
  </si>
  <si>
    <t>https://podminky.urs.cz/item/CS_URS_2023_02/997013875</t>
  </si>
  <si>
    <t>2,88+13,44+159,6</t>
  </si>
  <si>
    <t>997211511</t>
  </si>
  <si>
    <t>Vodorovná doprava suti nebo vybouraných hmot suti se složením a hrubým urovnáním, na vzdálenost do 1 km</t>
  </si>
  <si>
    <t>787409379</t>
  </si>
  <si>
    <t>https://podminky.urs.cz/item/CS_URS_2023_02/997211511</t>
  </si>
  <si>
    <t>beton</t>
  </si>
  <si>
    <t>"vybourání DV" 4*1,5</t>
  </si>
  <si>
    <t>"stávající zámk. dlažba tl.600mm" 10*0,06*2,2</t>
  </si>
  <si>
    <t>"podkladní beton tl.100mm chodník" 280*0,1*2,2</t>
  </si>
  <si>
    <t>"stávající obruba" (95+120+15)*0,205</t>
  </si>
  <si>
    <t>"stávající kostka" (13+35+45)*0,115</t>
  </si>
  <si>
    <t>"stávající sloupky DZ" 3*0,09</t>
  </si>
  <si>
    <t>Mezisoučet</t>
  </si>
  <si>
    <t>kamenivo</t>
  </si>
  <si>
    <t>"stávající kostka" 150*0,1*2</t>
  </si>
  <si>
    <t>"odkop kce ŠD tl.300mm na ZÚ u mostu" 12*0,3*2</t>
  </si>
  <si>
    <t>"odkop kce ŠD tl.200mm" 75*0,2*2</t>
  </si>
  <si>
    <t>"odkop kce ŠD tl.300mm chodník" 150*0,3*2</t>
  </si>
  <si>
    <t>"odkop kce ŠD tl.280mm chodník" 280*0,28*2</t>
  </si>
  <si>
    <t>"odkop kce ŠD tl.450mm" (590+(0,6*95))*0,45*2</t>
  </si>
  <si>
    <t>"odkop kce ŠD tl.340mm chodník" 10*0,34*2</t>
  </si>
  <si>
    <t>asfalt</t>
  </si>
  <si>
    <t>"asfalt tl.100mm na ZÚ u mostu" 12*0,1*2,4</t>
  </si>
  <si>
    <t>"stávající asfalt tl.20mm chodník" 280*0,02*2,4</t>
  </si>
  <si>
    <t>"stavající asf. kryt tl.100mm" (590+75)*0,1*2,4</t>
  </si>
  <si>
    <t>997211519</t>
  </si>
  <si>
    <t>Vodorovná doprava suti nebo vybouraných hmot suti se složením a hrubým urovnáním, na vzdálenost Příplatek k ceně za každý další i započatý 1 km přes 1 km</t>
  </si>
  <si>
    <t>1975154718</t>
  </si>
  <si>
    <t>https://podminky.urs.cz/item/CS_URS_2023_02/997211519</t>
  </si>
  <si>
    <t>24*1206,055</t>
  </si>
  <si>
    <t>998</t>
  </si>
  <si>
    <t>998223011</t>
  </si>
  <si>
    <t>Přesun hmot pro pozemní komunikace s krytem dlážděným dopravní vzdálenost do 200 m jakékoliv délky objektu</t>
  </si>
  <si>
    <t>49025694</t>
  </si>
  <si>
    <t>https://podminky.urs.cz/item/CS_URS_2023_02/998223011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</si>
  <si>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</si>
  <si>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</si>
  <si>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</si>
  <si>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</si>
  <si>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</si>
  <si>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</si>
  <si>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011414000</t>
  </si>
  <si>
    <t>Průzkum výskytu odpadu</t>
  </si>
  <si>
    <t>1024</t>
  </si>
  <si>
    <t>1774597969</t>
  </si>
  <si>
    <t>012103000</t>
  </si>
  <si>
    <t>Geodetické práce před výstavbou</t>
  </si>
  <si>
    <t>1479007803</t>
  </si>
  <si>
    <t>012303000</t>
  </si>
  <si>
    <t>Geodetické práce po výstavbě</t>
  </si>
  <si>
    <t>207996329</t>
  </si>
  <si>
    <t>013254000</t>
  </si>
  <si>
    <t>Dokumentace skutečného provedení stavby</t>
  </si>
  <si>
    <t>450833819</t>
  </si>
  <si>
    <t>VRN3</t>
  </si>
  <si>
    <t>032002000</t>
  </si>
  <si>
    <t>Vybavení staveniště</t>
  </si>
  <si>
    <t>-448220453</t>
  </si>
  <si>
    <t>034303000</t>
  </si>
  <si>
    <t>Dopravní značení na staveništi</t>
  </si>
  <si>
    <t>-1673288074</t>
  </si>
  <si>
    <t>"dopravně inženýrská opatření" 1</t>
  </si>
  <si>
    <t>039002000</t>
  </si>
  <si>
    <t>Zrušení zařízení staveniště</t>
  </si>
  <si>
    <t>-1581524967</t>
  </si>
  <si>
    <t>VRN4</t>
  </si>
  <si>
    <t>Inženýrská činnost</t>
  </si>
  <si>
    <t>043194000</t>
  </si>
  <si>
    <t>Ostatní zkoušky</t>
  </si>
  <si>
    <t>-232748956</t>
  </si>
  <si>
    <t>043203000</t>
  </si>
  <si>
    <t>Měření, monitoring, rozbory bez rozlišení - VZORKOVÁNÍ</t>
  </si>
  <si>
    <t>129215176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</si>
  <si>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</si>
  <si>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</si>
  <si>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</si>
  <si>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</si>
  <si>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</si>
  <si>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</si>
  <si>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</si>
  <si>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</si>
  <si>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</si>
  <si>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</si>
  <si>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</si>
  <si>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</si>
  <si>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</si>
  <si>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</si>
  <si>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</si>
  <si>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</si>
  <si>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</si>
  <si>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</si>
  <si>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</si>
  <si>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</si>
  <si>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</si>
  <si>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</si>
  <si>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</si>
  <si>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</si>
  <si>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</si>
  <si>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</si>
  <si>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</si>
  <si>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</si>
  <si>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</si>
  <si>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</si>
  <si>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</si>
  <si>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</si>
  <si>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</si>
  <si>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</si>
  <si>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</si>
  <si>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</si>
  <si>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</si>
  <si>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</si>
  <si>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</si>
  <si>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</si>
  <si>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</si>
  <si>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</si>
  <si>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</si>
  <si>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</si>
  <si>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</si>
  <si>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</si>
  <si>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</si>
  <si>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</si>
  <si>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</si>
  <si>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</si>
  <si>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</si>
  <si>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</si>
  <si>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</si>
  <si>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</si>
  <si>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</si>
  <si>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</si>
  <si>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</si>
  <si>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</si>
  <si>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</si>
  <si>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</si>
  <si>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</si>
  <si>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</si>
  <si>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</si>
  <si>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</si>
  <si>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</si>
  <si>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</si>
  <si>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</si>
  <si>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</si>
  <si>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</si>
  <si>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</si>
  <si>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</si>
  <si>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</si>
  <si>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</si>
  <si>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</si>
  <si>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</si>
  <si>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</si>
  <si>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</si>
  <si>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</si>
  <si>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</si>
  <si>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</si>
  <si>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</si>
  <si>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</si>
  <si>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</si>
  <si>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</si>
  <si>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</si>
  <si>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</si>
  <si>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</si>
  <si>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</si>
  <si>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</si>
  <si>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</si>
  <si>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</si>
  <si>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</si>
  <si>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</si>
  <si>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</si>
  <si>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</si>
  <si>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</si>
  <si>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</si>
  <si>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</si>
  <si>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</si>
  <si>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</si>
  <si>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</si>
  <si>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</si>
  <si>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</si>
  <si>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</si>
  <si>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</si>
  <si>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</si>
  <si>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</si>
  <si>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</si>
  <si>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</si>
  <si>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</si>
  <si>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</si>
  <si>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</si>
  <si>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</si>
  <si>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</si>
  <si>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</si>
  <si>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</si>
  <si>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</si>
  <si>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</si>
  <si>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</si>
  <si>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</si>
  <si>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</si>
  <si>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</si>
  <si>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</si>
  <si>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</si>
  <si>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</si>
  <si>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</si>
  <si>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</si>
  <si>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</si>
  <si>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</si>
  <si>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</si>
  <si>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</si>
  <si>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</si>
  <si>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</si>
  <si>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</si>
  <si>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</si>
  <si>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</si>
  <si>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</si>
  <si>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</si>
  <si>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</si>
  <si>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</si>
  <si>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</si>
  <si>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</si>
  <si>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</si>
  <si>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</si>
  <si>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</si>
  <si>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</si>
  <si>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</si>
  <si>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</si>
  <si>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</si>
  <si>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</si>
  <si>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</si>
  <si>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</si>
  <si>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</si>
  <si>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</si>
  <si>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</si>
  <si>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</si>
  <si>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</si>
  <si>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</si>
  <si>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</si>
  <si>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</si>
  <si>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</si>
  <si>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</si>
  <si>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</si>
  <si>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</si>
  <si>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</si>
  <si>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</si>
  <si>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</si>
  <si>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</si>
  <si>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</si>
  <si>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</si>
  <si>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</si>
  <si>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</si>
  <si>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</si>
  <si>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</si>
  <si>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</si>
  <si>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</si>
  <si>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</si>
  <si>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</si>
  <si>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</si>
  <si>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</si>
  <si>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nová kotvící část pro přesun svítidel</t>
  </si>
  <si>
    <r>
      <rPr>
        <b/>
        <sz val="11"/>
        <color theme="1"/>
        <rFont val="Calibri"/>
        <family val="2"/>
        <charset val="238"/>
        <scheme val="minor"/>
      </rPr>
      <t>svítidlo typ B</t>
    </r>
    <r>
      <rPr>
        <sz val="11"/>
        <color theme="1"/>
        <rFont val="Calibri"/>
        <family val="2"/>
        <charset val="238"/>
        <scheme val="minor"/>
      </rPr>
      <t xml:space="preserve"> - historický litinový sloup a litinová lucerna vč. kotevního základu, sloup typ. B 3,9m se znakem města Karlovy Vary - bližší specifikace dle domluvy s archytektem a investorem</t>
    </r>
  </si>
  <si>
    <r>
      <rPr>
        <b/>
        <sz val="11"/>
        <color theme="1"/>
        <rFont val="Calibri"/>
        <family val="2"/>
        <charset val="238"/>
        <scheme val="minor"/>
      </rPr>
      <t>svítidlo typ C</t>
    </r>
    <r>
      <rPr>
        <sz val="11"/>
        <color theme="1"/>
        <rFont val="Calibri"/>
        <family val="2"/>
        <charset val="238"/>
        <scheme val="minor"/>
      </rPr>
      <t xml:space="preserve"> - zemní LED svítidlo IP67, 213mm,  3000K,  12,5W,  230V,  870lm, tělo ocel vč, montážního pouzdra, životnost min. 30 000hod.</t>
    </r>
  </si>
  <si>
    <r>
      <t>svítidlo typ D</t>
    </r>
    <r>
      <rPr>
        <sz val="11"/>
        <color theme="1"/>
        <rFont val="Calibri"/>
        <family val="2"/>
        <charset val="238"/>
        <scheme val="minor"/>
      </rPr>
      <t xml:space="preserve"> -  zemní LED svítidlo IP67, 213mm,  3000K,  12,5W,  230V,  870lm, tělo ocel vč, montážního pouzdra, životnost min. 30 000hod.</t>
    </r>
  </si>
  <si>
    <t>renovace (obroušení, nový natěr RAL 6012) - stávajících ponechaných a přesunutých svítidel VO</t>
  </si>
  <si>
    <t>Komunikační brána 4G/ 3G‐LoRa komunikace max. 25 modulů vč. ročního poplatku</t>
  </si>
  <si>
    <t>Zazimování závlahy</t>
  </si>
  <si>
    <t>DPH 15%</t>
  </si>
  <si>
    <t>Základ 15%</t>
  </si>
  <si>
    <t>Typ položky: K - konstrukce, M - materiál, PP - plný popis, PSC - poznámka k souboru cen,  P - poznámka k položce, VV - výkaz výměr, FIG - rozpad figur</t>
  </si>
  <si>
    <t>fig</t>
  </si>
  <si>
    <t>Rozpad figur</t>
  </si>
  <si>
    <t>SO 03 - Mobiliář</t>
  </si>
  <si>
    <t>Rozebrání dlažeb ze zámkových dlaždic komunikací pro pěší ručně</t>
  </si>
  <si>
    <t>PP</t>
  </si>
  <si>
    <t>Rozebrání dlažeb vozovek z drobných kostek s ložem z kameniva ručně</t>
  </si>
  <si>
    <t>Odstranění podkladu z kameniva drceného tl přes 200 do 300 mm ručně</t>
  </si>
  <si>
    <t>Odstranění podkladu živičného tl přes 50 do 100 mm ručně</t>
  </si>
  <si>
    <t>Odstranění podkladu z kameniva drceného tl přes 100 do 200 mm strojně pl přes 50 do 200 m2</t>
  </si>
  <si>
    <t>Odstranění podkladu z kameniva drceného tl přes 200 do 300 mm strojně pl přes 200 m2</t>
  </si>
  <si>
    <t>Odstranění podkladu z kameniva drceného tl přes 400 do 500 mm strojně pl přes 200 m2</t>
  </si>
  <si>
    <t>Odstranění podkladu z betonu prostého tl do 100 mm strojně pl přes 200 m2</t>
  </si>
  <si>
    <t>Odstranění podkladu živičného tl 50 mm strojně pl přes 200 m2</t>
  </si>
  <si>
    <t>Odstranění podkladu z kameniva drceného tl přes 300 do 400 mm strojně pl do 50 m2</t>
  </si>
  <si>
    <t>Frézování živičného krytu tl 100 mm pruh š přes 0,5 do 1 m pl přes 500 do 1000 m2 bez překážek v trase</t>
  </si>
  <si>
    <t>Frézování živičného krytu tl 100 mm pruh š přes 1 do 2 m pl přes 500 do 1000 m2 bez překážek v trase</t>
  </si>
  <si>
    <t>Vytrhání obrub krajníků obrubníků stojatých</t>
  </si>
  <si>
    <t>Vytrhání obrub z dlažebních kostek</t>
  </si>
  <si>
    <t>Odkopávky a prokopávky nezapažené v hornině třídy těžitelnosti I skupiny 3 objem do 500 m3 strojně</t>
  </si>
  <si>
    <t>Hloubení jam nezapažených v hornině třídy těžitelnosti I skupiny 3 objem do 20 m3 strojně</t>
  </si>
  <si>
    <t>Hloubení rýh nezapažených š do 800 mm v hornině třídy těžitelnosti I skupiny 3 objem do 20 m3 strojně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</si>
  <si>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</si>
  <si>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</si>
  <si>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</si>
  <si>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Uložení sypaniny na skládky nebo meziskládky</t>
  </si>
  <si>
    <t>Zásyp jam, šachet rýh nebo kolem objektů sypaninou se zhutněním</t>
  </si>
  <si>
    <t>Úprava pláně v hornině třídy těžitelnosti I skupiny 1 až 3 se zhutněním strojně</t>
  </si>
  <si>
    <t>Výplň odvodňovacích žeber nebo trativodů kamenivem hrubým drceným frakce 4 až 16 mm</t>
  </si>
  <si>
    <t>"prostup vrstvou SC - HDK 8/16" 0,035*(24*0,5)</t>
  </si>
  <si>
    <t>Zřízení opláštění žeber nebo trativodů geotextilií v rýze nebo zářezu sklonu přes 1:2 š do 2,5 m</t>
  </si>
  <si>
    <t>Trativod z drenážních trubek korugovaných PE-HD SN 8 perforace 360° včetně lože otevřený výkop DN 100 pro liniové stavby</t>
  </si>
  <si>
    <t>Zřízení vrstvy z geotextilie v rovině nebo ve sklonu do 1:5 š přes 3 do 6 m</t>
  </si>
  <si>
    <t>Podklad ze štěrkodrtě ŠD plochy přes 100 m2 tl 150 mm</t>
  </si>
  <si>
    <t>Podklad ze štěrkodrtě ŠD plochy přes 100 m2 tl 200 mm</t>
  </si>
  <si>
    <t>Podklad ze štěrkodrtě ŠD plochy přes 100 m2 tl. 300 mm</t>
  </si>
  <si>
    <t>Podklad ze směsi stmelené cementem SC C 8/10 (KSC I) tl 200 mm</t>
  </si>
  <si>
    <t>Podklad ze směsi stmelené cementem SC C 8/10 (KSC I) tl 210 mm</t>
  </si>
  <si>
    <t>Postřik živičný spojovací ze silniční emulze v množství 0,30 kg/m2</t>
  </si>
  <si>
    <t>Postřik živičný spojovací ze silniční emulze v množství 0,50 kg/m2</t>
  </si>
  <si>
    <t>Kladení dlažby z kostek drobných z kamene do lože z kameniva těženého tl 50 mm</t>
  </si>
  <si>
    <t>"nová kce vozovky do maltového lože tl. 40mm" 590</t>
  </si>
  <si>
    <t>Demontáž mříží litinových včetně rámů hmotnosti přes 100 do 150 kg</t>
  </si>
  <si>
    <t>Montáž svislé dopravní značky do velikosti 1 m2 objímkami na sloupek nebo konzolu</t>
  </si>
  <si>
    <t>Montáž svislé dopravní značky do velikosti 2 m2 objímkami na sloupek nebo konzolu</t>
  </si>
  <si>
    <t>Montáž sloupku dopravních značek délky do 3,5 m s betonovým základem a patkou D 60 mm</t>
  </si>
  <si>
    <t>Vodorovné dopravní značení dělící čáry souvislé š 125 mm retroreflexní bílý plast</t>
  </si>
  <si>
    <t>Vodorovné dopravní značení přechody pro chodce, šipky, symboly retroreflexní bílý plast</t>
  </si>
  <si>
    <t>Předznačení vodorovného liniového značení</t>
  </si>
  <si>
    <t>Předznačení vodorovného plošného značení</t>
  </si>
  <si>
    <t>Osazení obrubníku kamenného stojatého s boční opěrou do lože z betonu prostého</t>
  </si>
  <si>
    <t>Styčná spára napojení nového živičného povrchu na stávající za tepla š 15 mm hl 25 mm s prořezáním</t>
  </si>
  <si>
    <t>Řezání stávajícího živičného krytu hl přes 50 do 100 mm</t>
  </si>
  <si>
    <t>Odstranění značek dopravních nebo orientačních se sloupky s betonovými patkami</t>
  </si>
  <si>
    <t>Odstranění svislých dopravních značek ze sloupů, sloupků nebo konzol</t>
  </si>
  <si>
    <t>Poplatek za uložení stavebního odpadu na recyklační skládce (skládkovné) z prostého betonu kód odpadu 17 01 01</t>
  </si>
  <si>
    <t>Vodorovná doprava suti po suchu na vzdálenost do 1 km</t>
  </si>
  <si>
    <t>Příplatek ZKD 1 km u vodorovné dopravy suti</t>
  </si>
  <si>
    <t>Přesun hmot pro pozemní komunikace s krytem dlážděným</t>
  </si>
  <si>
    <t xml:space="preserve">    VRN7 - Provozní vlivy</t>
  </si>
  <si>
    <t>VRN7</t>
  </si>
  <si>
    <t>Provozní vlivy</t>
  </si>
  <si>
    <t>071203000</t>
  </si>
  <si>
    <t>606914690</t>
  </si>
  <si>
    <t>SO04_Mobiliář a drobná architektura</t>
  </si>
  <si>
    <t>Asanace drobný mobiliář</t>
  </si>
  <si>
    <t>96</t>
  </si>
  <si>
    <t>Bourání konstrukcí</t>
  </si>
  <si>
    <t>961044111R00</t>
  </si>
  <si>
    <t>Bourání základů z betonu prostého ( koše, infocedule)</t>
  </si>
  <si>
    <t>96_</t>
  </si>
  <si>
    <t>966077121R00</t>
  </si>
  <si>
    <t>Odstranění doplňkových konstrukcí do 50 kg</t>
  </si>
  <si>
    <t>lavičky 3ks, koše 2 ks</t>
  </si>
  <si>
    <t>966077141R00</t>
  </si>
  <si>
    <t>Odstranění doplňkových konstrukcí do 500 kg</t>
  </si>
  <si>
    <t>infocedule</t>
  </si>
  <si>
    <t>966077151R00</t>
  </si>
  <si>
    <t>Odstranění doplňkových konstrukcí do 1000 kg</t>
  </si>
  <si>
    <t>altán, autobusová zastávka</t>
  </si>
  <si>
    <t>Vodorovné přemístění suti do 20000 m, vč. naložení na dopr. prostředek do 12 t a složení</t>
  </si>
  <si>
    <t>Asanace řetězový plůtek</t>
  </si>
  <si>
    <t>Bourání základů z betonu prostého</t>
  </si>
  <si>
    <t>76296389R</t>
  </si>
  <si>
    <t>Demontáž řetězového plůtku</t>
  </si>
  <si>
    <t>Renovace zábradlí podél řeky</t>
  </si>
  <si>
    <t>711</t>
  </si>
  <si>
    <t>Izolace proti vodě</t>
  </si>
  <si>
    <t>711212111R</t>
  </si>
  <si>
    <t>Nátěr stávajícího zábradlí podél řeky, vč. materiálu ( 97m x 1,5m)</t>
  </si>
  <si>
    <t>711_</t>
  </si>
  <si>
    <t>03_71_</t>
  </si>
  <si>
    <t>784</t>
  </si>
  <si>
    <t>Malby</t>
  </si>
  <si>
    <t>7844018031R</t>
  </si>
  <si>
    <t>Odstranění vrchní vrstvy obroušením</t>
  </si>
  <si>
    <t>784_</t>
  </si>
  <si>
    <t>03_78_</t>
  </si>
  <si>
    <t>Mobiliář</t>
  </si>
  <si>
    <t>74910387R</t>
  </si>
  <si>
    <t>Lavička litinová parková s opěradlem a područkami; vč. dodávky a instalace</t>
  </si>
  <si>
    <t>043027R</t>
  </si>
  <si>
    <t>Odpadkový koš obdélníkového půdorysu se stříškou, objem nádoby 120 l, vč. dodávky a instalace</t>
  </si>
  <si>
    <t>Ocelová konstrukce, dvířka z HPL desek, spojovací materiál nerez. Povchová úprava - ocelová konstrukce je opatřena ochranou vrstvou zinku a práškovým vypalovacím lakem. Nosná konstrukce je svařenec z ohýbaných výpalků u ocelového plechu. Dvířka HPL deska přilepená na ocelovou konstrukci, zavěšenou na pantech. Zadní stěna HPL deska přilepená na ocelovou konstrukci, pevně připojené k nosné kostře. Vnitřní nádoba lehká ocelová konstrukce, pro uchycení plastového pytle 120 l.  Hmotnost 69 kg. Kotvení do betonového základu pomocí závitových tyčí.</t>
  </si>
  <si>
    <t>7491045R</t>
  </si>
  <si>
    <t>Stojan na kola vč. dodávky a montáže</t>
  </si>
  <si>
    <t>Ocelová konstrukce z L-profilu. Povrchová úprava opatřena ochrannou vrstvou zinku a práškovým vypalovacím lakem. Tělo svěřenec z ocelového L-profilu 60x60x6 mm a plechových výpalků tloušťky 10 mm, celková výška 1100mm, délka 600 mm. Kotvení do betonovéhozákladu pomocí závitových tyčí. Hmotnost 16 kg.</t>
  </si>
  <si>
    <t>043032RVD</t>
  </si>
  <si>
    <t>Velký informační panel, vč. dodávky a instalace</t>
  </si>
  <si>
    <t>Informační tabule s mapou důležitých orientačních uzlů nebo jiné potřebné informace dle investora. Materiálové řešení ocelový plech, digitální smalt. plech pozink + komaxit RAL 5026. Kotvení do betonové patky chemickou kotvou.</t>
  </si>
  <si>
    <t>Taburet; vč. dodávky a instalace</t>
  </si>
  <si>
    <t>Dílenská dokumentace pro zhotovení taburetu</t>
  </si>
  <si>
    <t>36910387R</t>
  </si>
  <si>
    <t>Stolička; vč. dodávky a instalace</t>
  </si>
  <si>
    <t>Jednoduchá ocelová konstrukce z trubky spojená s deskou vysokotlakého laminátu ( HPL deska) pomocí šroubových spojů z nerezu. Povrchová ocelová konstrukce je opatřena ohrannou vrstvou zinku a práškovým lakem. Nosná kostra je konstrukce z ocelové trubky a výpalků z plechu. Sedák HPL deska. Barevnost dle vzorníku RAL 9010 bílá. Kotvení do betonového základu pomocí závitových tyčí. Hmotnost 5 kg.</t>
  </si>
  <si>
    <t>Stůl; vč. dodávky a instalace</t>
  </si>
  <si>
    <t>Jednoduchá ocelová konstrukce z trubky spojená s deskou vysokotlakého laminátu ( HPL deska) pomocí šroubových spojů z nerezu. Povrchová ocelová konstrukce je opatřena ohrannou vrstvou zinku a práškovým lakem. Nosná kostra je konstrukce z ocelové trubky, trubky obdélníkového průřezu a výpalků z plechu. Deska stolu HPL deska. Barevnost dle vzorníku RAL 9010 bílá. Kotvení do betonového základu pomocí závitových tyčí. Hmotnost 9 kg.</t>
  </si>
  <si>
    <t>Zastávka autobusu; vč. dodávky a instalace</t>
  </si>
  <si>
    <t>Zastávkový přístřešek s vegetační rovnou střechou - ocelová konstrukce se skleněnými výplněmi v zadní a bočních stěnách a střechou s extenzivní vegetační vrstvou je na místě instalace smontována pomocí šroubových spojů z nerezavějící oceli. Povrchová úprava ocelové konstrukce je opatřena ochrannou vrstvou zinku a práškovým vypalovacím lakem. Nosný rám jsou nosné sloupy a podélné žlaby tvořící svařovanou ocelovou konstrukci profilů obdélníkového profilu a ocelového plechu. Rám slouží jako nosná konstrukce skleněných výplní zadní stěny a vegetační střechy přístřešku, zajišťuje také odvodnění střechy. Výplň zadní stěny je kalené sklo s bezpečnostním potiskem. Stření krytina je extenzivní vegetační střecha ve vanách z hliníkového plechu, pohled z modřínových lamel. Boční stěny kalené sklo s bezpečnostním potiskem. Odvodnění vedené nosným sloupem s vyústěním nad zpevněný povrch za zadní stěnou přístřešku. V zastávce je integrovaná lavička tvořená sedákem s 5ti lamel z masivního tropického dřeva, opatřena venkovní povrchovou úpravou. Lavička je upevněna v ocelových držácích a má samostatné kotvení pod zpevněných povrch. Kotvení do betonového základu pomocí závitových tyčí. Hmotnost 879 kg ( bez vegetace). Včetně spodních staveb a ukotvení.</t>
  </si>
  <si>
    <t>043060RVD</t>
  </si>
  <si>
    <t>Dílenská dokumentace pro zhotovení zastávky autobusu</t>
  </si>
  <si>
    <t>zbudování základu pro svítidla - položka obsažena v SO01 mlat</t>
  </si>
  <si>
    <t>zemní práce - výkopy pro kabelová vedení - položka obsažena v SO01 mlat</t>
  </si>
  <si>
    <t>013294000</t>
  </si>
  <si>
    <t>Ostatní dokumentace</t>
  </si>
  <si>
    <t>1461492785</t>
  </si>
  <si>
    <t>"vkládání el. dokumentace skutečného provedení do DMVS" 1</t>
  </si>
  <si>
    <t>ZÁKLAD BEZ DPH 21%</t>
  </si>
  <si>
    <t>Celkem s DPH:</t>
  </si>
  <si>
    <t>- vybourané kostky: 24 m2 x hl. cca 0,12 m = 3 m3 x 2,5 t/m3 = 7,5 t - odvoz na místo určení dle instrukcí investora nebo technického dozoru
- stavební suť: 24 m2 x hl. cca 0,24 m = 6 t - odvoz na skládku</t>
  </si>
  <si>
    <t>Betonové patky pro sloupové osvětlení v parku. Nové lampy 7 ks, přesun 5 ks stávajících, reflektor 2 ks, zemní svítidlo 12 ks.
0,4x0,4x0,6=0,096 m3 x 12 ks  = 1,2 m3
Kotvení lamp v rámci rozpočtu osvětlení.</t>
  </si>
  <si>
    <t>Při realizaci mlatového povrchu je nutný dohled dodavatele materiálu na správnou vlhkost materiálu a technologii pokládky.
Hutnění probíhá válcem hm. cca 800 kg, bez vibrace, ručně vedený - 4-5 pojezdů.
- kamenivo drcené fr. 0-32: 1173 m2 x tl. 0,22 m x 1,05 koef. sléhavosti = 271 m3
- kamenivo drcené fr. 0-16: 1173 m2 x tl. 0,06 m x 1,05 koef. sléhavosti = 74 m3
- obrusná vrstva - přírodní min. materiál béžové barvy, fr. 0-5: 1173 m2 x tl. 0,03 x 1,05 koef. sléhavosti = 37 m3</t>
  </si>
  <si>
    <t>Předpokládaná vzdálenost z lomu tam a zpět: 80 km
Maximální hmotnost převáženého materiálu/t: 14
= kamenivo t: 671 t/14 t = 48 potřebných vleček x 80 km = 3840 km
= substrát t:úpravy terénu 15 t/14 t= 2 potřebných vleček x 80 km = 160 km</t>
  </si>
  <si>
    <t>Při stabilizaci podloží připočítat k mocnosti výkopku 150 mm!!!
- promísení zeminy po nakypření s vápnem do hl. 150 mm
- posyp křemičitým pískem 50 mm</t>
  </si>
  <si>
    <t>- vybourané základy: 0,9 m3 x 2,2 t/m3 = 2 t 
- demontovaný plůtek: 0,005 t x 51 m = 0,25 t 
- sloupky: 0,1 t/ 1 ks x 14 ks = 1,4 t</t>
  </si>
  <si>
    <t>Konstrukce lavičky je vyrobena z šedé litiny, dřevěná prkna sedáku a opěradla lavičky jsou z kvalitního dřeva - smrkové, litinová konstrukce je práškově lakována. úprava latí je provedena 1x penetrací a 3x lazurou, barva lomeně bílá RAL 9001 
Kotvení do betonového základu pomocí závitových tyčí podle podkladů výrobce - na dvou místech. Hmotnost 45 kg.</t>
  </si>
  <si>
    <t>Ocelová konstrukce ( jeklová), sedací desky modřín. Včetně betonových kotvících patek.
Viz výkres a dopracování dle dílenské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</si>
</sst>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(#,##0\._);;;_(@_)"/>
    <numFmt numFmtId="166" formatCode="_-* #,##0.00&quot; Kč&quot;_-;\-* #,##0.00&quot; Kč&quot;_-;_-* \-??&quot; Kč&quot;_-;_-@_-"/>
    <numFmt numFmtId="167" formatCode="0.0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_(#,##0.0??;&quot;- &quot;#,##0.0??;\–???;_(@_)"/>
    <numFmt numFmtId="172" formatCode="#,##0.0\ &quot;Kč&quot;"/>
    <numFmt numFmtId="173" formatCode="#,##0.00\ &quot;Kč&quot;"/>
    <numFmt numFmtId="174" formatCode="#,##0.00%"/>
    <numFmt numFmtId="175" formatCode="dd\.mm\.yyyy"/>
    <numFmt numFmtId="176" formatCode="#,##0.00000"/>
    <numFmt numFmtId="177" formatCode="#,##0.000"/>
  </numFmts>
  <fonts count="8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25"/>
      <name val="Arial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color theme="4" tint="-0.249977111117893"/>
      <name val="Arial CE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b/>
      <sz val="16"/>
      <color rgb="FF0070C0"/>
      <name val="ISOCPEUR"/>
      <family val="2"/>
      <charset val="238"/>
    </font>
    <font>
      <sz val="16"/>
      <color rgb="FF0070C0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2"/>
      <color rgb="FF0070C0"/>
      <name val="ISOCPEUR"/>
      <family val="2"/>
      <charset val="238"/>
    </font>
    <font>
      <b/>
      <sz val="10"/>
      <color theme="1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2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A8"/>
      <name val="Arial CE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u/>
      <sz val="7"/>
      <color rgb="FF979797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7"/>
      <name val="Arial CE"/>
    </font>
    <font>
      <sz val="8"/>
      <name val="Arial"/>
      <family val="2"/>
      <charset val="238"/>
    </font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  <bgColor rgb="FFC0C0C0"/>
      </patternFill>
    </fill>
    <fill>
      <patternFill patternType="solid">
        <fgColor rgb="FF808000"/>
        <bgColor rgb="FF808000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33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5" fillId="0" borderId="0"/>
    <xf numFmtId="0" fontId="64" fillId="0" borderId="0" applyNumberFormat="0" applyFill="0" applyBorder="0" applyAlignment="0" applyProtection="0"/>
    <xf numFmtId="0" fontId="74" fillId="0" borderId="0" applyNumberFormat="0" applyFont="0" applyFill="0" applyBorder="0" applyAlignment="0" applyProtection="0"/>
    <xf numFmtId="0" fontId="75" fillId="0" borderId="0"/>
  </cellStyleXfs>
  <cellXfs count="512">
    <xf numFmtId="0" fontId="0" fillId="0" borderId="0" xfId="0"/>
    <xf numFmtId="0" fontId="3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7" fillId="0" borderId="0" xfId="0" applyNumberFormat="1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9" fillId="0" borderId="0" xfId="2" applyNumberForma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2" applyAlignment="1">
      <alignment horizontal="right"/>
    </xf>
    <xf numFmtId="168" fontId="13" fillId="0" borderId="0" xfId="0" applyNumberFormat="1" applyFont="1" applyAlignment="1">
      <alignment horizontal="right"/>
    </xf>
    <xf numFmtId="49" fontId="14" fillId="0" borderId="8" xfId="0" applyNumberFormat="1" applyFont="1" applyBorder="1" applyAlignment="1">
      <alignment horizontal="center" wrapText="1"/>
    </xf>
    <xf numFmtId="49" fontId="14" fillId="0" borderId="8" xfId="0" applyNumberFormat="1" applyFont="1" applyBorder="1" applyAlignment="1">
      <alignment horizontal="left" wrapText="1"/>
    </xf>
    <xf numFmtId="2" fontId="14" fillId="0" borderId="8" xfId="0" applyNumberFormat="1" applyFont="1" applyBorder="1" applyAlignment="1">
      <alignment horizontal="center" wrapText="1"/>
    </xf>
    <xf numFmtId="167" fontId="14" fillId="0" borderId="8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 vertical="center"/>
    </xf>
    <xf numFmtId="165" fontId="17" fillId="0" borderId="9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horizontal="left"/>
    </xf>
    <xf numFmtId="49" fontId="17" fillId="0" borderId="9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167" fontId="17" fillId="0" borderId="9" xfId="0" applyNumberFormat="1" applyFont="1" applyBorder="1" applyAlignment="1">
      <alignment horizontal="center" vertical="center"/>
    </xf>
    <xf numFmtId="171" fontId="17" fillId="0" borderId="9" xfId="0" applyNumberFormat="1" applyFont="1" applyBorder="1" applyAlignment="1">
      <alignment horizontal="center" vertical="center"/>
    </xf>
    <xf numFmtId="170" fontId="17" fillId="0" borderId="9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167" fontId="18" fillId="0" borderId="10" xfId="0" applyNumberFormat="1" applyFont="1" applyBorder="1" applyAlignment="1">
      <alignment horizontal="center" vertical="center" wrapText="1"/>
    </xf>
    <xf numFmtId="170" fontId="0" fillId="0" borderId="0" xfId="0" applyNumberFormat="1"/>
    <xf numFmtId="49" fontId="21" fillId="0" borderId="10" xfId="0" applyNumberFormat="1" applyFont="1" applyBorder="1" applyAlignment="1">
      <alignment horizontal="left" vertical="center" wrapText="1"/>
    </xf>
    <xf numFmtId="165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167" fontId="17" fillId="0" borderId="11" xfId="0" applyNumberFormat="1" applyFont="1" applyBorder="1" applyAlignment="1">
      <alignment horizontal="center" vertical="center"/>
    </xf>
    <xf numFmtId="171" fontId="19" fillId="0" borderId="10" xfId="0" applyNumberFormat="1" applyFont="1" applyBorder="1" applyAlignment="1">
      <alignment horizontal="center" vertical="center"/>
    </xf>
    <xf numFmtId="171" fontId="19" fillId="0" borderId="11" xfId="0" applyNumberFormat="1" applyFont="1" applyBorder="1" applyAlignment="1">
      <alignment horizontal="center" vertical="center"/>
    </xf>
    <xf numFmtId="167" fontId="22" fillId="0" borderId="11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 wrapText="1"/>
    </xf>
    <xf numFmtId="0" fontId="25" fillId="0" borderId="0" xfId="0" applyFont="1"/>
    <xf numFmtId="2" fontId="19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2" fontId="2" fillId="0" borderId="0" xfId="0" applyNumberFormat="1" applyFont="1" applyAlignment="1">
      <alignment horizontal="right" vertical="center"/>
    </xf>
    <xf numFmtId="167" fontId="0" fillId="0" borderId="0" xfId="0" applyNumberFormat="1"/>
    <xf numFmtId="0" fontId="2" fillId="0" borderId="12" xfId="0" applyFont="1" applyBorder="1" applyAlignment="1">
      <alignment horizontal="left" vertical="center" wrapText="1"/>
    </xf>
    <xf numFmtId="17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167" fontId="0" fillId="0" borderId="0" xfId="0" applyNumberFormat="1" applyAlignment="1">
      <alignment horizontal="center"/>
    </xf>
    <xf numFmtId="0" fontId="29" fillId="0" borderId="0" xfId="0" applyFont="1"/>
    <xf numFmtId="0" fontId="30" fillId="3" borderId="1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2" fillId="4" borderId="19" xfId="0" applyFont="1" applyFill="1" applyBorder="1"/>
    <xf numFmtId="0" fontId="29" fillId="4" borderId="20" xfId="0" applyFont="1" applyFill="1" applyBorder="1" applyAlignment="1">
      <alignment horizontal="center"/>
    </xf>
    <xf numFmtId="0" fontId="29" fillId="4" borderId="20" xfId="0" applyFont="1" applyFill="1" applyBorder="1"/>
    <xf numFmtId="173" fontId="32" fillId="4" borderId="21" xfId="0" applyNumberFormat="1" applyFont="1" applyFill="1" applyBorder="1"/>
    <xf numFmtId="0" fontId="0" fillId="0" borderId="22" xfId="0" applyBorder="1"/>
    <xf numFmtId="0" fontId="29" fillId="0" borderId="20" xfId="0" applyFont="1" applyBorder="1" applyAlignment="1">
      <alignment horizontal="center"/>
    </xf>
    <xf numFmtId="173" fontId="29" fillId="0" borderId="21" xfId="0" applyNumberFormat="1" applyFont="1" applyBorder="1"/>
    <xf numFmtId="0" fontId="0" fillId="0" borderId="22" xfId="0" applyBorder="1" applyAlignment="1">
      <alignment wrapText="1"/>
    </xf>
    <xf numFmtId="0" fontId="32" fillId="0" borderId="0" xfId="0" applyFont="1"/>
    <xf numFmtId="0" fontId="29" fillId="0" borderId="19" xfId="0" applyFont="1" applyBorder="1"/>
    <xf numFmtId="4" fontId="29" fillId="4" borderId="20" xfId="0" applyNumberFormat="1" applyFont="1" applyFill="1" applyBorder="1"/>
    <xf numFmtId="0" fontId="29" fillId="5" borderId="19" xfId="0" applyFont="1" applyFill="1" applyBorder="1"/>
    <xf numFmtId="0" fontId="29" fillId="5" borderId="20" xfId="0" applyFont="1" applyFill="1" applyBorder="1" applyAlignment="1">
      <alignment horizontal="center"/>
    </xf>
    <xf numFmtId="173" fontId="29" fillId="5" borderId="21" xfId="0" applyNumberFormat="1" applyFont="1" applyFill="1" applyBorder="1"/>
    <xf numFmtId="0" fontId="29" fillId="0" borderId="19" xfId="0" applyFont="1" applyBorder="1" applyAlignment="1">
      <alignment wrapText="1"/>
    </xf>
    <xf numFmtId="0" fontId="32" fillId="4" borderId="20" xfId="0" applyFont="1" applyFill="1" applyBorder="1" applyAlignment="1">
      <alignment horizontal="center"/>
    </xf>
    <xf numFmtId="0" fontId="32" fillId="4" borderId="20" xfId="0" applyFont="1" applyFill="1" applyBorder="1"/>
    <xf numFmtId="0" fontId="29" fillId="0" borderId="23" xfId="0" applyFont="1" applyBorder="1"/>
    <xf numFmtId="0" fontId="29" fillId="0" borderId="24" xfId="0" applyFont="1" applyBorder="1" applyAlignment="1">
      <alignment horizontal="center"/>
    </xf>
    <xf numFmtId="0" fontId="29" fillId="0" borderId="24" xfId="0" applyFont="1" applyBorder="1"/>
    <xf numFmtId="0" fontId="29" fillId="0" borderId="25" xfId="0" applyFont="1" applyBorder="1"/>
    <xf numFmtId="0" fontId="29" fillId="0" borderId="20" xfId="0" applyFont="1" applyBorder="1"/>
    <xf numFmtId="0" fontId="29" fillId="0" borderId="21" xfId="0" applyFont="1" applyBorder="1"/>
    <xf numFmtId="0" fontId="29" fillId="0" borderId="20" xfId="0" applyFont="1" applyBorder="1" applyAlignment="1">
      <alignment horizontal="right" indent="1"/>
    </xf>
    <xf numFmtId="0" fontId="29" fillId="0" borderId="26" xfId="0" applyFont="1" applyBorder="1"/>
    <xf numFmtId="0" fontId="29" fillId="0" borderId="27" xfId="0" applyFont="1" applyBorder="1" applyAlignment="1">
      <alignment horizontal="center"/>
    </xf>
    <xf numFmtId="0" fontId="29" fillId="0" borderId="27" xfId="0" applyFont="1" applyBorder="1" applyAlignment="1">
      <alignment horizontal="right" indent="1"/>
    </xf>
    <xf numFmtId="0" fontId="29" fillId="0" borderId="27" xfId="0" applyFont="1" applyBorder="1"/>
    <xf numFmtId="0" fontId="29" fillId="0" borderId="28" xfId="0" applyFont="1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 inden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5" fillId="0" borderId="0" xfId="5"/>
    <xf numFmtId="0" fontId="35" fillId="0" borderId="0" xfId="5" applyAlignment="1">
      <alignment horizontal="left" vertical="center"/>
    </xf>
    <xf numFmtId="0" fontId="35" fillId="0" borderId="29" xfId="5" applyBorder="1"/>
    <xf numFmtId="0" fontId="35" fillId="0" borderId="30" xfId="5" applyBorder="1"/>
    <xf numFmtId="0" fontId="35" fillId="0" borderId="32" xfId="5" applyBorder="1"/>
    <xf numFmtId="0" fontId="36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/>
    </xf>
    <xf numFmtId="0" fontId="37" fillId="0" borderId="0" xfId="5" applyFont="1" applyAlignment="1">
      <alignment horizontal="left" vertical="center"/>
    </xf>
    <xf numFmtId="0" fontId="38" fillId="6" borderId="0" xfId="5" applyFont="1" applyFill="1" applyAlignment="1" applyProtection="1">
      <alignment horizontal="left" vertical="center"/>
      <protection locked="0"/>
    </xf>
    <xf numFmtId="0" fontId="38" fillId="0" borderId="0" xfId="5" applyFont="1" applyAlignment="1">
      <alignment horizontal="left" vertical="center" wrapText="1"/>
    </xf>
    <xf numFmtId="0" fontId="35" fillId="0" borderId="0" xfId="5" applyAlignment="1">
      <alignment vertical="center"/>
    </xf>
    <xf numFmtId="0" fontId="35" fillId="0" borderId="32" xfId="5" applyBorder="1" applyAlignment="1">
      <alignment vertical="center"/>
    </xf>
    <xf numFmtId="0" fontId="37" fillId="0" borderId="0" xfId="5" applyFont="1" applyAlignment="1">
      <alignment horizontal="right" vertical="center"/>
    </xf>
    <xf numFmtId="0" fontId="35" fillId="0" borderId="34" xfId="5" applyBorder="1" applyAlignment="1">
      <alignment vertical="center"/>
    </xf>
    <xf numFmtId="0" fontId="35" fillId="0" borderId="35" xfId="5" applyBorder="1" applyAlignment="1">
      <alignment vertical="center"/>
    </xf>
    <xf numFmtId="0" fontId="35" fillId="0" borderId="29" xfId="5" applyBorder="1" applyAlignment="1">
      <alignment vertical="center"/>
    </xf>
    <xf numFmtId="0" fontId="35" fillId="0" borderId="30" xfId="5" applyBorder="1" applyAlignment="1">
      <alignment vertical="center"/>
    </xf>
    <xf numFmtId="175" fontId="38" fillId="0" borderId="0" xfId="5" applyNumberFormat="1" applyFont="1" applyAlignment="1">
      <alignment horizontal="left" vertical="center"/>
    </xf>
    <xf numFmtId="0" fontId="35" fillId="0" borderId="63" xfId="5" applyBorder="1" applyAlignment="1">
      <alignment vertical="center"/>
    </xf>
    <xf numFmtId="0" fontId="42" fillId="0" borderId="0" xfId="5" applyFont="1" applyAlignment="1">
      <alignment horizontal="left" vertical="center"/>
    </xf>
    <xf numFmtId="0" fontId="35" fillId="0" borderId="66" xfId="5" applyBorder="1" applyAlignment="1">
      <alignment vertical="center"/>
    </xf>
    <xf numFmtId="0" fontId="35" fillId="7" borderId="60" xfId="5" applyFill="1" applyBorder="1" applyAlignment="1">
      <alignment vertical="center"/>
    </xf>
    <xf numFmtId="0" fontId="44" fillId="0" borderId="67" xfId="5" applyFont="1" applyBorder="1" applyAlignment="1">
      <alignment horizontal="center" vertical="center" wrapText="1"/>
    </xf>
    <xf numFmtId="0" fontId="44" fillId="0" borderId="68" xfId="5" applyFont="1" applyBorder="1" applyAlignment="1">
      <alignment horizontal="center" vertical="center" wrapText="1"/>
    </xf>
    <xf numFmtId="0" fontId="44" fillId="0" borderId="69" xfId="5" applyFont="1" applyBorder="1" applyAlignment="1">
      <alignment horizontal="center" vertical="center" wrapText="1"/>
    </xf>
    <xf numFmtId="0" fontId="35" fillId="0" borderId="62" xfId="5" applyBorder="1" applyAlignment="1">
      <alignment vertical="center"/>
    </xf>
    <xf numFmtId="0" fontId="45" fillId="0" borderId="0" xfId="5" applyFont="1" applyAlignment="1">
      <alignment horizontal="left" vertical="center"/>
    </xf>
    <xf numFmtId="4" fontId="45" fillId="0" borderId="0" xfId="5" applyNumberFormat="1" applyFont="1" applyAlignment="1">
      <alignment vertical="center"/>
    </xf>
    <xf numFmtId="0" fontId="46" fillId="0" borderId="0" xfId="5" applyFont="1" applyAlignment="1">
      <alignment vertical="center"/>
    </xf>
    <xf numFmtId="4" fontId="37" fillId="0" borderId="0" xfId="5" applyNumberFormat="1" applyFont="1" applyAlignment="1">
      <alignment vertical="center"/>
    </xf>
    <xf numFmtId="0" fontId="47" fillId="0" borderId="0" xfId="5" applyFont="1" applyAlignment="1">
      <alignment horizontal="left" vertical="center"/>
    </xf>
    <xf numFmtId="0" fontId="35" fillId="0" borderId="0" xfId="5" applyAlignment="1">
      <alignment vertical="center" wrapText="1"/>
    </xf>
    <xf numFmtId="0" fontId="35" fillId="0" borderId="32" xfId="5" applyBorder="1" applyAlignment="1">
      <alignment vertical="center" wrapText="1"/>
    </xf>
    <xf numFmtId="0" fontId="40" fillId="0" borderId="0" xfId="5" applyFont="1" applyAlignment="1">
      <alignment horizontal="left" vertical="center"/>
    </xf>
    <xf numFmtId="174" fontId="37" fillId="0" borderId="0" xfId="5" applyNumberFormat="1" applyFont="1" applyAlignment="1">
      <alignment horizontal="right" vertical="center"/>
    </xf>
    <xf numFmtId="0" fontId="35" fillId="7" borderId="0" xfId="5" applyFill="1" applyAlignment="1">
      <alignment vertical="center"/>
    </xf>
    <xf numFmtId="0" fontId="41" fillId="7" borderId="59" xfId="5" applyFont="1" applyFill="1" applyBorder="1" applyAlignment="1">
      <alignment horizontal="left" vertical="center"/>
    </xf>
    <xf numFmtId="0" fontId="41" fillId="7" borderId="60" xfId="5" applyFont="1" applyFill="1" applyBorder="1" applyAlignment="1">
      <alignment horizontal="right" vertical="center"/>
    </xf>
    <xf numFmtId="0" fontId="41" fillId="7" borderId="60" xfId="5" applyFont="1" applyFill="1" applyBorder="1" applyAlignment="1">
      <alignment horizontal="center" vertical="center"/>
    </xf>
    <xf numFmtId="4" fontId="41" fillId="7" borderId="60" xfId="5" applyNumberFormat="1" applyFont="1" applyFill="1" applyBorder="1" applyAlignment="1">
      <alignment vertical="center"/>
    </xf>
    <xf numFmtId="0" fontId="35" fillId="7" borderId="61" xfId="5" applyFill="1" applyBorder="1" applyAlignment="1">
      <alignment vertical="center"/>
    </xf>
    <xf numFmtId="0" fontId="43" fillId="7" borderId="0" xfId="5" applyFont="1" applyFill="1" applyAlignment="1">
      <alignment horizontal="left" vertical="center"/>
    </xf>
    <xf numFmtId="0" fontId="43" fillId="7" borderId="0" xfId="5" applyFont="1" applyFill="1" applyAlignment="1">
      <alignment horizontal="right" vertical="center"/>
    </xf>
    <xf numFmtId="0" fontId="48" fillId="0" borderId="0" xfId="5" applyFont="1" applyAlignment="1">
      <alignment horizontal="left" vertical="center"/>
    </xf>
    <xf numFmtId="0" fontId="49" fillId="0" borderId="0" xfId="5" applyFont="1" applyAlignment="1">
      <alignment vertical="center"/>
    </xf>
    <xf numFmtId="0" fontId="49" fillId="0" borderId="32" xfId="5" applyFont="1" applyBorder="1" applyAlignment="1">
      <alignment vertical="center"/>
    </xf>
    <xf numFmtId="0" fontId="49" fillId="0" borderId="71" xfId="5" applyFont="1" applyBorder="1" applyAlignment="1">
      <alignment horizontal="left" vertical="center"/>
    </xf>
    <xf numFmtId="0" fontId="49" fillId="0" borderId="71" xfId="5" applyFont="1" applyBorder="1" applyAlignment="1">
      <alignment vertical="center"/>
    </xf>
    <xf numFmtId="4" fontId="49" fillId="0" borderId="71" xfId="5" applyNumberFormat="1" applyFont="1" applyBorder="1" applyAlignment="1">
      <alignment vertical="center"/>
    </xf>
    <xf numFmtId="0" fontId="46" fillId="0" borderId="32" xfId="5" applyFont="1" applyBorder="1" applyAlignment="1">
      <alignment vertical="center"/>
    </xf>
    <xf numFmtId="0" fontId="46" fillId="0" borderId="71" xfId="5" applyFont="1" applyBorder="1" applyAlignment="1">
      <alignment horizontal="left" vertical="center"/>
    </xf>
    <xf numFmtId="0" fontId="46" fillId="0" borderId="71" xfId="5" applyFont="1" applyBorder="1" applyAlignment="1">
      <alignment vertical="center"/>
    </xf>
    <xf numFmtId="4" fontId="46" fillId="0" borderId="71" xfId="5" applyNumberFormat="1" applyFont="1" applyBorder="1" applyAlignment="1">
      <alignment vertical="center"/>
    </xf>
    <xf numFmtId="0" fontId="35" fillId="0" borderId="0" xfId="5" applyAlignment="1">
      <alignment horizontal="center" vertical="center" wrapText="1"/>
    </xf>
    <xf numFmtId="0" fontId="35" fillId="0" borderId="32" xfId="5" applyBorder="1" applyAlignment="1">
      <alignment horizontal="center" vertical="center" wrapText="1"/>
    </xf>
    <xf numFmtId="0" fontId="43" fillId="7" borderId="67" xfId="5" applyFont="1" applyFill="1" applyBorder="1" applyAlignment="1">
      <alignment horizontal="center" vertical="center" wrapText="1"/>
    </xf>
    <xf numFmtId="0" fontId="43" fillId="7" borderId="68" xfId="5" applyFont="1" applyFill="1" applyBorder="1" applyAlignment="1">
      <alignment horizontal="center" vertical="center" wrapText="1"/>
    </xf>
    <xf numFmtId="0" fontId="43" fillId="7" borderId="69" xfId="5" applyFont="1" applyFill="1" applyBorder="1" applyAlignment="1">
      <alignment horizontal="center" vertical="center" wrapText="1"/>
    </xf>
    <xf numFmtId="4" fontId="45" fillId="0" borderId="0" xfId="5" applyNumberFormat="1" applyFont="1"/>
    <xf numFmtId="176" fontId="50" fillId="0" borderId="63" xfId="5" applyNumberFormat="1" applyFont="1" applyBorder="1"/>
    <xf numFmtId="176" fontId="50" fillId="0" borderId="64" xfId="5" applyNumberFormat="1" applyFont="1" applyBorder="1"/>
    <xf numFmtId="4" fontId="51" fillId="0" borderId="0" xfId="5" applyNumberFormat="1" applyFont="1" applyAlignment="1">
      <alignment vertical="center"/>
    </xf>
    <xf numFmtId="0" fontId="52" fillId="0" borderId="0" xfId="5" applyFont="1"/>
    <xf numFmtId="0" fontId="52" fillId="0" borderId="32" xfId="5" applyFont="1" applyBorder="1"/>
    <xf numFmtId="0" fontId="52" fillId="0" borderId="0" xfId="5" applyFont="1" applyAlignment="1">
      <alignment horizontal="left"/>
    </xf>
    <xf numFmtId="0" fontId="49" fillId="0" borderId="0" xfId="5" applyFont="1" applyAlignment="1">
      <alignment horizontal="left"/>
    </xf>
    <xf numFmtId="0" fontId="52" fillId="0" borderId="0" xfId="5" applyFont="1" applyProtection="1">
      <protection locked="0"/>
    </xf>
    <xf numFmtId="4" fontId="49" fillId="0" borderId="0" xfId="5" applyNumberFormat="1" applyFont="1"/>
    <xf numFmtId="0" fontId="52" fillId="0" borderId="65" xfId="5" applyFont="1" applyBorder="1"/>
    <xf numFmtId="176" fontId="52" fillId="0" borderId="0" xfId="5" applyNumberFormat="1" applyFont="1"/>
    <xf numFmtId="176" fontId="52" fillId="0" borderId="66" xfId="5" applyNumberFormat="1" applyFont="1" applyBorder="1"/>
    <xf numFmtId="0" fontId="52" fillId="0" borderId="0" xfId="5" applyFont="1" applyAlignment="1">
      <alignment horizontal="center"/>
    </xf>
    <xf numFmtId="4" fontId="52" fillId="0" borderId="0" xfId="5" applyNumberFormat="1" applyFont="1" applyAlignment="1">
      <alignment vertical="center"/>
    </xf>
    <xf numFmtId="0" fontId="46" fillId="0" borderId="0" xfId="5" applyFont="1" applyAlignment="1">
      <alignment horizontal="left"/>
    </xf>
    <xf numFmtId="4" fontId="46" fillId="0" borderId="0" xfId="5" applyNumberFormat="1" applyFont="1"/>
    <xf numFmtId="0" fontId="43" fillId="0" borderId="73" xfId="5" applyFont="1" applyBorder="1" applyAlignment="1">
      <alignment horizontal="center" vertical="center"/>
    </xf>
    <xf numFmtId="49" fontId="43" fillId="0" borderId="73" xfId="5" applyNumberFormat="1" applyFont="1" applyBorder="1" applyAlignment="1">
      <alignment horizontal="left" vertical="center" wrapText="1"/>
    </xf>
    <xf numFmtId="0" fontId="43" fillId="0" borderId="73" xfId="5" applyFont="1" applyBorder="1" applyAlignment="1">
      <alignment horizontal="left" vertical="center" wrapText="1"/>
    </xf>
    <xf numFmtId="0" fontId="43" fillId="0" borderId="73" xfId="5" applyFont="1" applyBorder="1" applyAlignment="1">
      <alignment horizontal="center" vertical="center" wrapText="1"/>
    </xf>
    <xf numFmtId="177" fontId="43" fillId="0" borderId="73" xfId="5" applyNumberFormat="1" applyFont="1" applyBorder="1" applyAlignment="1">
      <alignment vertical="center"/>
    </xf>
    <xf numFmtId="4" fontId="43" fillId="6" borderId="73" xfId="5" applyNumberFormat="1" applyFont="1" applyFill="1" applyBorder="1" applyAlignment="1" applyProtection="1">
      <alignment vertical="center"/>
      <protection locked="0"/>
    </xf>
    <xf numFmtId="4" fontId="43" fillId="0" borderId="73" xfId="5" applyNumberFormat="1" applyFont="1" applyBorder="1" applyAlignment="1">
      <alignment vertical="center"/>
    </xf>
    <xf numFmtId="0" fontId="44" fillId="6" borderId="65" xfId="5" applyFont="1" applyFill="1" applyBorder="1" applyAlignment="1" applyProtection="1">
      <alignment horizontal="left" vertical="center"/>
      <protection locked="0"/>
    </xf>
    <xf numFmtId="0" fontId="44" fillId="0" borderId="0" xfId="5" applyFont="1" applyAlignment="1">
      <alignment horizontal="center" vertical="center"/>
    </xf>
    <xf numFmtId="176" fontId="44" fillId="0" borderId="0" xfId="5" applyNumberFormat="1" applyFont="1" applyAlignment="1">
      <alignment vertical="center"/>
    </xf>
    <xf numFmtId="176" fontId="44" fillId="0" borderId="66" xfId="5" applyNumberFormat="1" applyFont="1" applyBorder="1" applyAlignment="1">
      <alignment vertical="center"/>
    </xf>
    <xf numFmtId="0" fontId="43" fillId="0" borderId="0" xfId="5" applyFont="1" applyAlignment="1">
      <alignment horizontal="left" vertical="center"/>
    </xf>
    <xf numFmtId="4" fontId="35" fillId="0" borderId="0" xfId="5" applyNumberFormat="1" applyAlignment="1">
      <alignment vertical="center"/>
    </xf>
    <xf numFmtId="0" fontId="53" fillId="0" borderId="0" xfId="5" applyFont="1" applyAlignment="1">
      <alignment horizontal="left" vertical="center"/>
    </xf>
    <xf numFmtId="0" fontId="35" fillId="0" borderId="0" xfId="5" applyAlignment="1" applyProtection="1">
      <alignment vertical="center"/>
      <protection locked="0"/>
    </xf>
    <xf numFmtId="0" fontId="35" fillId="0" borderId="65" xfId="5" applyBorder="1" applyAlignment="1">
      <alignment vertical="center"/>
    </xf>
    <xf numFmtId="0" fontId="54" fillId="0" borderId="0" xfId="5" applyFont="1" applyAlignment="1">
      <alignment vertical="center"/>
    </xf>
    <xf numFmtId="0" fontId="54" fillId="0" borderId="32" xfId="5" applyFont="1" applyBorder="1" applyAlignment="1">
      <alignment vertical="center"/>
    </xf>
    <xf numFmtId="0" fontId="55" fillId="0" borderId="0" xfId="5" applyFont="1" applyAlignment="1">
      <alignment horizontal="left" vertical="center"/>
    </xf>
    <xf numFmtId="0" fontId="54" fillId="0" borderId="0" xfId="5" applyFont="1" applyAlignment="1">
      <alignment horizontal="left" vertical="center"/>
    </xf>
    <xf numFmtId="0" fontId="54" fillId="0" borderId="0" xfId="5" applyFont="1" applyAlignment="1">
      <alignment horizontal="left" vertical="center" wrapText="1"/>
    </xf>
    <xf numFmtId="177" fontId="54" fillId="0" borderId="0" xfId="5" applyNumberFormat="1" applyFont="1" applyAlignment="1">
      <alignment vertical="center"/>
    </xf>
    <xf numFmtId="0" fontId="54" fillId="0" borderId="0" xfId="5" applyFont="1" applyAlignment="1" applyProtection="1">
      <alignment vertical="center"/>
      <protection locked="0"/>
    </xf>
    <xf numFmtId="0" fontId="54" fillId="0" borderId="65" xfId="5" applyFont="1" applyBorder="1" applyAlignment="1">
      <alignment vertical="center"/>
    </xf>
    <xf numFmtId="0" fontId="54" fillId="0" borderId="66" xfId="5" applyFont="1" applyBorder="1" applyAlignment="1">
      <alignment vertical="center"/>
    </xf>
    <xf numFmtId="0" fontId="56" fillId="0" borderId="0" xfId="5" applyFont="1" applyAlignment="1">
      <alignment vertical="center"/>
    </xf>
    <xf numFmtId="0" fontId="56" fillId="0" borderId="32" xfId="5" applyFont="1" applyBorder="1" applyAlignment="1">
      <alignment vertical="center"/>
    </xf>
    <xf numFmtId="0" fontId="56" fillId="0" borderId="0" xfId="5" applyFont="1" applyAlignment="1">
      <alignment horizontal="left" vertical="center"/>
    </xf>
    <xf numFmtId="0" fontId="56" fillId="0" borderId="0" xfId="5" applyFont="1" applyAlignment="1">
      <alignment horizontal="left" vertical="center" wrapText="1"/>
    </xf>
    <xf numFmtId="177" fontId="56" fillId="0" borderId="0" xfId="5" applyNumberFormat="1" applyFont="1" applyAlignment="1">
      <alignment vertical="center"/>
    </xf>
    <xf numFmtId="0" fontId="56" fillId="0" borderId="0" xfId="5" applyFont="1" applyAlignment="1" applyProtection="1">
      <alignment vertical="center"/>
      <protection locked="0"/>
    </xf>
    <xf numFmtId="0" fontId="56" fillId="0" borderId="65" xfId="5" applyFont="1" applyBorder="1" applyAlignment="1">
      <alignment vertical="center"/>
    </xf>
    <xf numFmtId="0" fontId="56" fillId="0" borderId="66" xfId="5" applyFont="1" applyBorder="1" applyAlignment="1">
      <alignment vertical="center"/>
    </xf>
    <xf numFmtId="0" fontId="57" fillId="0" borderId="0" xfId="5" applyFont="1" applyAlignment="1">
      <alignment vertical="center"/>
    </xf>
    <xf numFmtId="0" fontId="57" fillId="0" borderId="32" xfId="5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57" fillId="0" borderId="0" xfId="5" applyFont="1" applyAlignment="1">
      <alignment horizontal="left" vertical="center" wrapText="1"/>
    </xf>
    <xf numFmtId="0" fontId="57" fillId="0" borderId="0" xfId="5" applyFont="1" applyAlignment="1" applyProtection="1">
      <alignment vertical="center"/>
      <protection locked="0"/>
    </xf>
    <xf numFmtId="0" fontId="57" fillId="0" borderId="65" xfId="5" applyFont="1" applyBorder="1" applyAlignment="1">
      <alignment vertical="center"/>
    </xf>
    <xf numFmtId="0" fontId="57" fillId="0" borderId="66" xfId="5" applyFont="1" applyBorder="1" applyAlignment="1">
      <alignment vertical="center"/>
    </xf>
    <xf numFmtId="0" fontId="58" fillId="0" borderId="73" xfId="5" applyFont="1" applyBorder="1" applyAlignment="1">
      <alignment horizontal="center" vertical="center"/>
    </xf>
    <xf numFmtId="49" fontId="58" fillId="0" borderId="73" xfId="5" applyNumberFormat="1" applyFont="1" applyBorder="1" applyAlignment="1">
      <alignment horizontal="left" vertical="center" wrapText="1"/>
    </xf>
    <xf numFmtId="0" fontId="58" fillId="0" borderId="73" xfId="5" applyFont="1" applyBorder="1" applyAlignment="1">
      <alignment horizontal="left" vertical="center" wrapText="1"/>
    </xf>
    <xf numFmtId="0" fontId="58" fillId="0" borderId="73" xfId="5" applyFont="1" applyBorder="1" applyAlignment="1">
      <alignment horizontal="center" vertical="center" wrapText="1"/>
    </xf>
    <xf numFmtId="177" fontId="58" fillId="0" borderId="73" xfId="5" applyNumberFormat="1" applyFont="1" applyBorder="1" applyAlignment="1">
      <alignment vertical="center"/>
    </xf>
    <xf numFmtId="4" fontId="58" fillId="6" borderId="73" xfId="5" applyNumberFormat="1" applyFont="1" applyFill="1" applyBorder="1" applyAlignment="1" applyProtection="1">
      <alignment vertical="center"/>
      <protection locked="0"/>
    </xf>
    <xf numFmtId="4" fontId="58" fillId="0" borderId="73" xfId="5" applyNumberFormat="1" applyFont="1" applyBorder="1" applyAlignment="1">
      <alignment vertical="center"/>
    </xf>
    <xf numFmtId="0" fontId="59" fillId="0" borderId="32" xfId="5" applyFont="1" applyBorder="1" applyAlignment="1">
      <alignment vertical="center"/>
    </xf>
    <xf numFmtId="0" fontId="58" fillId="6" borderId="65" xfId="5" applyFont="1" applyFill="1" applyBorder="1" applyAlignment="1" applyProtection="1">
      <alignment horizontal="left" vertical="center"/>
      <protection locked="0"/>
    </xf>
    <xf numFmtId="0" fontId="58" fillId="0" borderId="0" xfId="5" applyFont="1" applyAlignment="1">
      <alignment horizontal="center" vertical="center"/>
    </xf>
    <xf numFmtId="0" fontId="60" fillId="0" borderId="0" xfId="5" applyFont="1" applyAlignment="1">
      <alignment vertical="center"/>
    </xf>
    <xf numFmtId="0" fontId="60" fillId="0" borderId="32" xfId="5" applyFont="1" applyBorder="1" applyAlignment="1">
      <alignment vertical="center"/>
    </xf>
    <xf numFmtId="0" fontId="60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 wrapText="1"/>
    </xf>
    <xf numFmtId="177" fontId="60" fillId="0" borderId="0" xfId="5" applyNumberFormat="1" applyFont="1" applyAlignment="1">
      <alignment vertical="center"/>
    </xf>
    <xf numFmtId="0" fontId="60" fillId="0" borderId="0" xfId="5" applyFont="1" applyAlignment="1" applyProtection="1">
      <alignment vertical="center"/>
      <protection locked="0"/>
    </xf>
    <xf numFmtId="0" fontId="60" fillId="0" borderId="65" xfId="5" applyFont="1" applyBorder="1" applyAlignment="1">
      <alignment vertical="center"/>
    </xf>
    <xf numFmtId="0" fontId="60" fillId="0" borderId="66" xfId="5" applyFont="1" applyBorder="1" applyAlignment="1">
      <alignment vertical="center"/>
    </xf>
    <xf numFmtId="0" fontId="35" fillId="0" borderId="70" xfId="5" applyBorder="1" applyAlignment="1">
      <alignment vertical="center"/>
    </xf>
    <xf numFmtId="0" fontId="35" fillId="0" borderId="71" xfId="5" applyBorder="1" applyAlignment="1">
      <alignment vertical="center"/>
    </xf>
    <xf numFmtId="0" fontId="35" fillId="0" borderId="72" xfId="5" applyBorder="1" applyAlignment="1">
      <alignment vertical="center"/>
    </xf>
    <xf numFmtId="0" fontId="35" fillId="0" borderId="0" xfId="5" applyAlignment="1">
      <alignment horizontal="center" vertical="center"/>
    </xf>
    <xf numFmtId="0" fontId="61" fillId="0" borderId="0" xfId="5" applyFont="1" applyAlignment="1">
      <alignment horizontal="left" vertical="center" wrapText="1"/>
    </xf>
    <xf numFmtId="0" fontId="61" fillId="0" borderId="0" xfId="5" applyFont="1" applyAlignment="1">
      <alignment vertical="center" wrapText="1"/>
    </xf>
    <xf numFmtId="0" fontId="61" fillId="0" borderId="0" xfId="5" applyFont="1" applyAlignment="1">
      <alignment horizontal="left" vertical="center"/>
    </xf>
    <xf numFmtId="0" fontId="61" fillId="0" borderId="0" xfId="5" applyFont="1" applyAlignment="1">
      <alignment vertical="center"/>
    </xf>
    <xf numFmtId="49" fontId="61" fillId="0" borderId="0" xfId="5" applyNumberFormat="1" applyFont="1" applyAlignment="1">
      <alignment vertical="center" wrapText="1"/>
    </xf>
    <xf numFmtId="0" fontId="63" fillId="0" borderId="0" xfId="5" applyFont="1" applyAlignment="1">
      <alignment horizontal="left" vertical="center"/>
    </xf>
    <xf numFmtId="0" fontId="61" fillId="0" borderId="0" xfId="5" applyFont="1" applyAlignment="1">
      <alignment horizontal="center" vertical="center"/>
    </xf>
    <xf numFmtId="0" fontId="61" fillId="0" borderId="0" xfId="5" applyFont="1" applyAlignment="1">
      <alignment horizontal="left" vertical="top"/>
    </xf>
    <xf numFmtId="0" fontId="61" fillId="0" borderId="0" xfId="5" applyFont="1" applyAlignment="1">
      <alignment horizontal="center" vertical="top"/>
    </xf>
    <xf numFmtId="0" fontId="61" fillId="0" borderId="0" xfId="5" applyFont="1" applyAlignment="1">
      <alignment vertical="top"/>
    </xf>
    <xf numFmtId="49" fontId="61" fillId="0" borderId="0" xfId="5" applyNumberFormat="1" applyFont="1" applyAlignment="1">
      <alignment horizontal="left" vertical="center"/>
    </xf>
    <xf numFmtId="0" fontId="35" fillId="0" borderId="79" xfId="5" applyBorder="1" applyAlignment="1">
      <alignment vertical="top"/>
    </xf>
    <xf numFmtId="0" fontId="35" fillId="0" borderId="0" xfId="5" applyAlignment="1">
      <alignment vertical="top"/>
    </xf>
    <xf numFmtId="0" fontId="31" fillId="0" borderId="82" xfId="0" applyFont="1" applyBorder="1"/>
    <xf numFmtId="0" fontId="31" fillId="0" borderId="83" xfId="0" applyFont="1" applyBorder="1" applyAlignment="1">
      <alignment horizontal="center"/>
    </xf>
    <xf numFmtId="0" fontId="32" fillId="0" borderId="83" xfId="0" applyFont="1" applyBorder="1" applyAlignment="1">
      <alignment horizontal="center"/>
    </xf>
    <xf numFmtId="0" fontId="32" fillId="0" borderId="84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0" fontId="30" fillId="3" borderId="85" xfId="0" applyFont="1" applyFill="1" applyBorder="1"/>
    <xf numFmtId="0" fontId="29" fillId="3" borderId="86" xfId="0" applyFont="1" applyFill="1" applyBorder="1" applyAlignment="1">
      <alignment horizontal="center"/>
    </xf>
    <xf numFmtId="0" fontId="29" fillId="3" borderId="86" xfId="0" applyFont="1" applyFill="1" applyBorder="1"/>
    <xf numFmtId="0" fontId="29" fillId="3" borderId="87" xfId="0" applyFont="1" applyFill="1" applyBorder="1"/>
    <xf numFmtId="49" fontId="15" fillId="0" borderId="88" xfId="0" applyNumberFormat="1" applyFont="1" applyBorder="1" applyAlignment="1">
      <alignment horizontal="left" wrapText="1"/>
    </xf>
    <xf numFmtId="49" fontId="14" fillId="0" borderId="88" xfId="0" applyNumberFormat="1" applyFont="1" applyBorder="1" applyAlignment="1">
      <alignment horizontal="center" wrapText="1"/>
    </xf>
    <xf numFmtId="2" fontId="14" fillId="0" borderId="88" xfId="0" applyNumberFormat="1" applyFont="1" applyBorder="1" applyAlignment="1">
      <alignment horizontal="center" wrapText="1"/>
    </xf>
    <xf numFmtId="0" fontId="65" fillId="0" borderId="0" xfId="6" applyFont="1" applyAlignment="1" applyProtection="1">
      <alignment vertical="center" wrapText="1"/>
    </xf>
    <xf numFmtId="0" fontId="66" fillId="0" borderId="74" xfId="5" applyFont="1" applyBorder="1" applyAlignment="1">
      <alignment vertical="center" wrapText="1"/>
    </xf>
    <xf numFmtId="0" fontId="66" fillId="0" borderId="75" xfId="5" applyFont="1" applyBorder="1" applyAlignment="1">
      <alignment vertical="center" wrapText="1"/>
    </xf>
    <xf numFmtId="0" fontId="66" fillId="0" borderId="76" xfId="5" applyFont="1" applyBorder="1" applyAlignment="1">
      <alignment vertical="center" wrapText="1"/>
    </xf>
    <xf numFmtId="0" fontId="66" fillId="0" borderId="77" xfId="5" applyFont="1" applyBorder="1" applyAlignment="1">
      <alignment horizontal="center" vertical="center" wrapText="1"/>
    </xf>
    <xf numFmtId="0" fontId="66" fillId="0" borderId="78" xfId="5" applyFont="1" applyBorder="1" applyAlignment="1">
      <alignment horizontal="center" vertical="center" wrapText="1"/>
    </xf>
    <xf numFmtId="0" fontId="66" fillId="0" borderId="77" xfId="5" applyFont="1" applyBorder="1" applyAlignment="1">
      <alignment vertical="center" wrapText="1"/>
    </xf>
    <xf numFmtId="0" fontId="66" fillId="0" borderId="78" xfId="5" applyFont="1" applyBorder="1" applyAlignment="1">
      <alignment vertical="center" wrapText="1"/>
    </xf>
    <xf numFmtId="0" fontId="68" fillId="0" borderId="0" xfId="5" applyFont="1" applyAlignment="1">
      <alignment horizontal="left" vertical="center" wrapText="1"/>
    </xf>
    <xf numFmtId="0" fontId="69" fillId="0" borderId="77" xfId="5" applyFont="1" applyBorder="1" applyAlignment="1">
      <alignment vertical="center" wrapText="1"/>
    </xf>
    <xf numFmtId="0" fontId="66" fillId="0" borderId="80" xfId="5" applyFont="1" applyBorder="1" applyAlignment="1">
      <alignment vertical="center" wrapText="1"/>
    </xf>
    <xf numFmtId="0" fontId="70" fillId="0" borderId="79" xfId="5" applyFont="1" applyBorder="1" applyAlignment="1">
      <alignment vertical="center" wrapText="1"/>
    </xf>
    <xf numFmtId="0" fontId="66" fillId="0" borderId="81" xfId="5" applyFont="1" applyBorder="1" applyAlignment="1">
      <alignment vertical="center" wrapText="1"/>
    </xf>
    <xf numFmtId="0" fontId="66" fillId="0" borderId="0" xfId="5" applyFont="1" applyAlignment="1">
      <alignment vertical="top"/>
    </xf>
    <xf numFmtId="0" fontId="66" fillId="0" borderId="74" xfId="5" applyFont="1" applyBorder="1" applyAlignment="1">
      <alignment horizontal="left" vertical="center"/>
    </xf>
    <xf numFmtId="0" fontId="66" fillId="0" borderId="75" xfId="5" applyFont="1" applyBorder="1" applyAlignment="1">
      <alignment horizontal="left" vertical="center"/>
    </xf>
    <xf numFmtId="0" fontId="66" fillId="0" borderId="76" xfId="5" applyFont="1" applyBorder="1" applyAlignment="1">
      <alignment horizontal="left" vertical="center"/>
    </xf>
    <xf numFmtId="0" fontId="66" fillId="0" borderId="77" xfId="5" applyFont="1" applyBorder="1" applyAlignment="1">
      <alignment horizontal="left" vertical="center"/>
    </xf>
    <xf numFmtId="0" fontId="66" fillId="0" borderId="78" xfId="5" applyFont="1" applyBorder="1" applyAlignment="1">
      <alignment horizontal="left" vertical="center"/>
    </xf>
    <xf numFmtId="0" fontId="68" fillId="0" borderId="0" xfId="5" applyFont="1" applyAlignment="1">
      <alignment horizontal="left" vertical="center"/>
    </xf>
    <xf numFmtId="0" fontId="71" fillId="0" borderId="0" xfId="5" applyFont="1" applyAlignment="1">
      <alignment horizontal="left" vertical="center"/>
    </xf>
    <xf numFmtId="0" fontId="68" fillId="0" borderId="79" xfId="5" applyFont="1" applyBorder="1" applyAlignment="1">
      <alignment horizontal="left" vertical="center"/>
    </xf>
    <xf numFmtId="0" fontId="68" fillId="0" borderId="79" xfId="5" applyFont="1" applyBorder="1" applyAlignment="1">
      <alignment horizontal="center" vertical="center"/>
    </xf>
    <xf numFmtId="0" fontId="71" fillId="0" borderId="79" xfId="5" applyFont="1" applyBorder="1" applyAlignment="1">
      <alignment horizontal="left" vertical="center"/>
    </xf>
    <xf numFmtId="0" fontId="72" fillId="0" borderId="0" xfId="5" applyFont="1" applyAlignment="1">
      <alignment horizontal="left" vertical="center"/>
    </xf>
    <xf numFmtId="0" fontId="69" fillId="0" borderId="0" xfId="5" applyFont="1" applyAlignment="1">
      <alignment horizontal="left" vertical="center"/>
    </xf>
    <xf numFmtId="0" fontId="69" fillId="0" borderId="77" xfId="5" applyFont="1" applyBorder="1" applyAlignment="1">
      <alignment horizontal="left" vertical="center"/>
    </xf>
    <xf numFmtId="0" fontId="66" fillId="0" borderId="80" xfId="5" applyFont="1" applyBorder="1" applyAlignment="1">
      <alignment horizontal="left" vertical="center"/>
    </xf>
    <xf numFmtId="0" fontId="70" fillId="0" borderId="79" xfId="5" applyFont="1" applyBorder="1" applyAlignment="1">
      <alignment horizontal="left" vertical="center"/>
    </xf>
    <xf numFmtId="0" fontId="66" fillId="0" borderId="81" xfId="5" applyFont="1" applyBorder="1" applyAlignment="1">
      <alignment horizontal="left" vertical="center"/>
    </xf>
    <xf numFmtId="0" fontId="66" fillId="0" borderId="0" xfId="5" applyFont="1" applyAlignment="1">
      <alignment horizontal="left" vertical="center"/>
    </xf>
    <xf numFmtId="0" fontId="70" fillId="0" borderId="0" xfId="5" applyFont="1" applyAlignment="1">
      <alignment horizontal="left" vertical="center"/>
    </xf>
    <xf numFmtId="0" fontId="69" fillId="0" borderId="79" xfId="5" applyFont="1" applyBorder="1" applyAlignment="1">
      <alignment horizontal="left" vertical="center"/>
    </xf>
    <xf numFmtId="0" fontId="66" fillId="0" borderId="0" xfId="5" applyFont="1" applyAlignment="1">
      <alignment horizontal="left" vertical="center" wrapText="1"/>
    </xf>
    <xf numFmtId="0" fontId="69" fillId="0" borderId="0" xfId="5" applyFont="1" applyAlignment="1">
      <alignment horizontal="left" vertical="center" wrapText="1"/>
    </xf>
    <xf numFmtId="0" fontId="69" fillId="0" borderId="0" xfId="5" applyFont="1" applyAlignment="1">
      <alignment horizontal="center" vertical="center" wrapText="1"/>
    </xf>
    <xf numFmtId="0" fontId="66" fillId="0" borderId="74" xfId="5" applyFont="1" applyBorder="1" applyAlignment="1">
      <alignment horizontal="left" vertical="center" wrapText="1"/>
    </xf>
    <xf numFmtId="0" fontId="66" fillId="0" borderId="75" xfId="5" applyFont="1" applyBorder="1" applyAlignment="1">
      <alignment horizontal="left" vertical="center" wrapText="1"/>
    </xf>
    <xf numFmtId="0" fontId="66" fillId="0" borderId="76" xfId="5" applyFont="1" applyBorder="1" applyAlignment="1">
      <alignment horizontal="left" vertical="center" wrapText="1"/>
    </xf>
    <xf numFmtId="0" fontId="66" fillId="0" borderId="77" xfId="5" applyFont="1" applyBorder="1" applyAlignment="1">
      <alignment horizontal="left" vertical="center" wrapText="1"/>
    </xf>
    <xf numFmtId="0" fontId="66" fillId="0" borderId="78" xfId="5" applyFont="1" applyBorder="1" applyAlignment="1">
      <alignment horizontal="left" vertical="center" wrapText="1"/>
    </xf>
    <xf numFmtId="0" fontId="71" fillId="0" borderId="77" xfId="5" applyFont="1" applyBorder="1" applyAlignment="1">
      <alignment horizontal="left" vertical="center" wrapText="1"/>
    </xf>
    <xf numFmtId="0" fontId="71" fillId="0" borderId="78" xfId="5" applyFont="1" applyBorder="1" applyAlignment="1">
      <alignment horizontal="left" vertical="center" wrapText="1"/>
    </xf>
    <xf numFmtId="0" fontId="69" fillId="0" borderId="77" xfId="5" applyFont="1" applyBorder="1" applyAlignment="1">
      <alignment horizontal="left" vertical="center" wrapText="1"/>
    </xf>
    <xf numFmtId="0" fontId="69" fillId="0" borderId="78" xfId="5" applyFont="1" applyBorder="1" applyAlignment="1">
      <alignment horizontal="left" vertical="center" wrapText="1"/>
    </xf>
    <xf numFmtId="0" fontId="69" fillId="0" borderId="78" xfId="5" applyFont="1" applyBorder="1" applyAlignment="1">
      <alignment horizontal="left" vertical="center"/>
    </xf>
    <xf numFmtId="0" fontId="69" fillId="0" borderId="80" xfId="5" applyFont="1" applyBorder="1" applyAlignment="1">
      <alignment horizontal="left" vertical="center" wrapText="1"/>
    </xf>
    <xf numFmtId="0" fontId="69" fillId="0" borderId="79" xfId="5" applyFont="1" applyBorder="1" applyAlignment="1">
      <alignment horizontal="left" vertical="center" wrapText="1"/>
    </xf>
    <xf numFmtId="0" fontId="69" fillId="0" borderId="81" xfId="5" applyFont="1" applyBorder="1" applyAlignment="1">
      <alignment horizontal="left" vertical="center" wrapText="1"/>
    </xf>
    <xf numFmtId="0" fontId="69" fillId="0" borderId="80" xfId="5" applyFont="1" applyBorder="1" applyAlignment="1">
      <alignment horizontal="left" vertical="center"/>
    </xf>
    <xf numFmtId="0" fontId="69" fillId="0" borderId="81" xfId="5" applyFont="1" applyBorder="1" applyAlignment="1">
      <alignment horizontal="left" vertical="center"/>
    </xf>
    <xf numFmtId="0" fontId="69" fillId="0" borderId="0" xfId="5" applyFont="1" applyAlignment="1">
      <alignment horizontal="center" vertical="center"/>
    </xf>
    <xf numFmtId="0" fontId="71" fillId="0" borderId="0" xfId="5" applyFont="1" applyAlignment="1">
      <alignment vertical="center"/>
    </xf>
    <xf numFmtId="0" fontId="68" fillId="0" borderId="0" xfId="5" applyFont="1" applyAlignment="1">
      <alignment vertical="center"/>
    </xf>
    <xf numFmtId="0" fontId="71" fillId="0" borderId="79" xfId="5" applyFont="1" applyBorder="1" applyAlignment="1">
      <alignment vertical="center"/>
    </xf>
    <xf numFmtId="0" fontId="68" fillId="0" borderId="79" xfId="5" applyFont="1" applyBorder="1" applyAlignment="1">
      <alignment vertical="center"/>
    </xf>
    <xf numFmtId="0" fontId="68" fillId="0" borderId="79" xfId="5" applyFont="1" applyBorder="1" applyAlignment="1">
      <alignment horizontal="left"/>
    </xf>
    <xf numFmtId="0" fontId="71" fillId="0" borderId="79" xfId="5" applyFont="1" applyBorder="1"/>
    <xf numFmtId="0" fontId="66" fillId="0" borderId="77" xfId="5" applyFont="1" applyBorder="1" applyAlignment="1">
      <alignment vertical="top"/>
    </xf>
    <xf numFmtId="0" fontId="66" fillId="0" borderId="78" xfId="5" applyFont="1" applyBorder="1" applyAlignment="1">
      <alignment vertical="top"/>
    </xf>
    <xf numFmtId="0" fontId="66" fillId="0" borderId="80" xfId="5" applyFont="1" applyBorder="1" applyAlignment="1">
      <alignment vertical="top"/>
    </xf>
    <xf numFmtId="0" fontId="66" fillId="0" borderId="79" xfId="5" applyFont="1" applyBorder="1" applyAlignment="1">
      <alignment vertical="top"/>
    </xf>
    <xf numFmtId="0" fontId="66" fillId="0" borderId="81" xfId="5" applyFont="1" applyBorder="1" applyAlignment="1">
      <alignment vertical="top"/>
    </xf>
    <xf numFmtId="0" fontId="73" fillId="0" borderId="0" xfId="5" applyFont="1" applyAlignment="1">
      <alignment horizontal="left" vertical="center" wrapText="1"/>
    </xf>
    <xf numFmtId="173" fontId="0" fillId="0" borderId="3" xfId="0" applyNumberFormat="1" applyBorder="1"/>
    <xf numFmtId="173" fontId="2" fillId="0" borderId="3" xfId="0" applyNumberFormat="1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35" fillId="0" borderId="0" xfId="5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35" fillId="0" borderId="0" xfId="5" applyAlignment="1">
      <alignment vertical="center"/>
    </xf>
    <xf numFmtId="0" fontId="37" fillId="0" borderId="0" xfId="5" applyFont="1" applyAlignment="1">
      <alignment horizontal="left" vertical="center" wrapText="1"/>
    </xf>
    <xf numFmtId="0" fontId="37" fillId="0" borderId="0" xfId="5" applyFont="1" applyAlignment="1">
      <alignment horizontal="left" vertical="center"/>
    </xf>
    <xf numFmtId="0" fontId="38" fillId="6" borderId="0" xfId="5" applyFont="1" applyFill="1" applyAlignment="1" applyProtection="1">
      <alignment horizontal="left" vertical="center"/>
      <protection locked="0"/>
    </xf>
    <xf numFmtId="0" fontId="61" fillId="0" borderId="0" xfId="5" applyFont="1" applyAlignment="1">
      <alignment horizontal="left" vertical="top"/>
    </xf>
    <xf numFmtId="0" fontId="67" fillId="0" borderId="0" xfId="5" applyFont="1" applyAlignment="1">
      <alignment horizontal="center" vertical="center" wrapText="1"/>
    </xf>
    <xf numFmtId="0" fontId="68" fillId="0" borderId="79" xfId="5" applyFont="1" applyBorder="1" applyAlignment="1">
      <alignment horizontal="left"/>
    </xf>
    <xf numFmtId="0" fontId="61" fillId="0" borderId="0" xfId="5" applyFont="1" applyAlignment="1">
      <alignment horizontal="left" vertical="center"/>
    </xf>
    <xf numFmtId="0" fontId="67" fillId="0" borderId="0" xfId="5" applyFont="1" applyAlignment="1">
      <alignment horizontal="center" vertical="center"/>
    </xf>
    <xf numFmtId="49" fontId="61" fillId="0" borderId="0" xfId="5" applyNumberFormat="1" applyFont="1" applyAlignment="1">
      <alignment horizontal="left" vertical="center" wrapText="1"/>
    </xf>
    <xf numFmtId="0" fontId="61" fillId="0" borderId="0" xfId="5" applyFont="1" applyAlignment="1">
      <alignment horizontal="left" vertical="center" wrapText="1"/>
    </xf>
    <xf numFmtId="0" fontId="68" fillId="0" borderId="79" xfId="5" applyFont="1" applyBorder="1" applyAlignment="1">
      <alignment horizontal="left" wrapText="1"/>
    </xf>
    <xf numFmtId="0" fontId="27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2" fillId="4" borderId="89" xfId="0" applyFont="1" applyFill="1" applyBorder="1"/>
    <xf numFmtId="0" fontId="32" fillId="4" borderId="90" xfId="0" applyFont="1" applyFill="1" applyBorder="1" applyAlignment="1">
      <alignment horizontal="center"/>
    </xf>
    <xf numFmtId="173" fontId="32" fillId="4" borderId="91" xfId="0" applyNumberFormat="1" applyFont="1" applyFill="1" applyBorder="1"/>
    <xf numFmtId="0" fontId="76" fillId="0" borderId="0" xfId="8" applyFont="1" applyAlignment="1">
      <alignment horizontal="center" vertical="center" wrapText="1"/>
    </xf>
    <xf numFmtId="0" fontId="76" fillId="0" borderId="0" xfId="8" applyFont="1" applyAlignment="1">
      <alignment horizontal="center" vertical="center"/>
    </xf>
    <xf numFmtId="0" fontId="75" fillId="0" borderId="0" xfId="8"/>
    <xf numFmtId="0" fontId="77" fillId="0" borderId="29" xfId="8" applyFont="1" applyBorder="1" applyAlignment="1">
      <alignment horizontal="left" vertical="center" wrapText="1"/>
    </xf>
    <xf numFmtId="0" fontId="77" fillId="0" borderId="30" xfId="8" applyFont="1" applyBorder="1" applyAlignment="1">
      <alignment horizontal="left" vertical="center"/>
    </xf>
    <xf numFmtId="0" fontId="78" fillId="0" borderId="30" xfId="8" applyFont="1" applyBorder="1" applyAlignment="1">
      <alignment horizontal="left" vertical="center" wrapText="1"/>
    </xf>
    <xf numFmtId="0" fontId="78" fillId="0" borderId="30" xfId="8" applyFont="1" applyBorder="1" applyAlignment="1">
      <alignment horizontal="left" vertical="center"/>
    </xf>
    <xf numFmtId="0" fontId="77" fillId="0" borderId="30" xfId="8" applyFont="1" applyBorder="1" applyAlignment="1">
      <alignment horizontal="left" vertical="center" wrapText="1"/>
    </xf>
    <xf numFmtId="0" fontId="77" fillId="0" borderId="31" xfId="8" applyFont="1" applyBorder="1" applyAlignment="1">
      <alignment horizontal="left" vertical="center"/>
    </xf>
    <xf numFmtId="0" fontId="77" fillId="0" borderId="32" xfId="8" applyFont="1" applyBorder="1" applyAlignment="1">
      <alignment horizontal="left" vertical="center"/>
    </xf>
    <xf numFmtId="0" fontId="77" fillId="0" borderId="0" xfId="8" applyFont="1" applyAlignment="1">
      <alignment horizontal="left" vertical="center"/>
    </xf>
    <xf numFmtId="0" fontId="78" fillId="0" borderId="0" xfId="8" applyFont="1" applyAlignment="1">
      <alignment horizontal="left" vertical="center"/>
    </xf>
    <xf numFmtId="0" fontId="77" fillId="0" borderId="33" xfId="8" applyFont="1" applyBorder="1" applyAlignment="1">
      <alignment horizontal="left" vertical="center"/>
    </xf>
    <xf numFmtId="0" fontId="77" fillId="0" borderId="32" xfId="8" applyFont="1" applyBorder="1" applyAlignment="1">
      <alignment horizontal="left" vertical="center" wrapText="1"/>
    </xf>
    <xf numFmtId="0" fontId="77" fillId="0" borderId="0" xfId="8" applyFont="1" applyAlignment="1">
      <alignment horizontal="left" vertical="center" wrapText="1"/>
    </xf>
    <xf numFmtId="1" fontId="77" fillId="0" borderId="33" xfId="8" applyNumberFormat="1" applyFont="1" applyBorder="1" applyAlignment="1">
      <alignment horizontal="left" vertical="center"/>
    </xf>
    <xf numFmtId="0" fontId="77" fillId="0" borderId="33" xfId="8" applyFont="1" applyBorder="1" applyAlignment="1">
      <alignment horizontal="left" vertical="center" wrapText="1"/>
    </xf>
    <xf numFmtId="0" fontId="77" fillId="0" borderId="34" xfId="8" applyFont="1" applyBorder="1" applyAlignment="1">
      <alignment horizontal="left" vertical="center"/>
    </xf>
    <xf numFmtId="0" fontId="77" fillId="0" borderId="35" xfId="8" applyFont="1" applyBorder="1" applyAlignment="1">
      <alignment horizontal="left" vertical="center"/>
    </xf>
    <xf numFmtId="0" fontId="77" fillId="0" borderId="36" xfId="8" applyFont="1" applyBorder="1" applyAlignment="1">
      <alignment horizontal="left" vertical="center"/>
    </xf>
    <xf numFmtId="0" fontId="79" fillId="0" borderId="0" xfId="8" applyFont="1" applyAlignment="1">
      <alignment horizontal="center" vertical="center"/>
    </xf>
    <xf numFmtId="0" fontId="80" fillId="8" borderId="37" xfId="8" applyFont="1" applyFill="1" applyBorder="1" applyAlignment="1">
      <alignment horizontal="center" vertical="center"/>
    </xf>
    <xf numFmtId="0" fontId="81" fillId="0" borderId="38" xfId="8" applyFont="1" applyBorder="1" applyAlignment="1">
      <alignment horizontal="left" vertical="center"/>
    </xf>
    <xf numFmtId="0" fontId="81" fillId="0" borderId="39" xfId="8" applyFont="1" applyBorder="1" applyAlignment="1">
      <alignment horizontal="left" vertical="center"/>
    </xf>
    <xf numFmtId="0" fontId="80" fillId="8" borderId="39" xfId="8" applyFont="1" applyFill="1" applyBorder="1" applyAlignment="1">
      <alignment horizontal="center" vertical="center"/>
    </xf>
    <xf numFmtId="0" fontId="82" fillId="0" borderId="40" xfId="8" applyFont="1" applyBorder="1" applyAlignment="1">
      <alignment horizontal="left" vertical="center"/>
    </xf>
    <xf numFmtId="0" fontId="83" fillId="0" borderId="36" xfId="8" applyFont="1" applyBorder="1" applyAlignment="1">
      <alignment horizontal="left" vertical="center"/>
    </xf>
    <xf numFmtId="4" fontId="83" fillId="0" borderId="36" xfId="8" applyNumberFormat="1" applyFont="1" applyBorder="1" applyAlignment="1">
      <alignment horizontal="right" vertical="center"/>
    </xf>
    <xf numFmtId="0" fontId="83" fillId="0" borderId="35" xfId="8" applyFont="1" applyBorder="1" applyAlignment="1">
      <alignment horizontal="left" vertical="center"/>
    </xf>
    <xf numFmtId="0" fontId="83" fillId="0" borderId="36" xfId="8" applyFont="1" applyBorder="1" applyAlignment="1">
      <alignment horizontal="left" vertical="center"/>
    </xf>
    <xf numFmtId="0" fontId="83" fillId="0" borderId="36" xfId="8" applyFont="1" applyBorder="1" applyAlignment="1">
      <alignment horizontal="right" vertical="center"/>
    </xf>
    <xf numFmtId="0" fontId="82" fillId="0" borderId="41" xfId="8" applyFont="1" applyBorder="1" applyAlignment="1">
      <alignment horizontal="left" vertical="center"/>
    </xf>
    <xf numFmtId="0" fontId="82" fillId="0" borderId="34" xfId="8" applyFont="1" applyBorder="1" applyAlignment="1">
      <alignment horizontal="left" vertical="center"/>
    </xf>
    <xf numFmtId="0" fontId="82" fillId="0" borderId="36" xfId="8" applyFont="1" applyBorder="1" applyAlignment="1">
      <alignment horizontal="left" vertical="center"/>
    </xf>
    <xf numFmtId="0" fontId="82" fillId="0" borderId="32" xfId="8" applyFont="1" applyBorder="1" applyAlignment="1">
      <alignment horizontal="left" vertical="center"/>
    </xf>
    <xf numFmtId="0" fontId="82" fillId="0" borderId="33" xfId="8" applyFont="1" applyBorder="1" applyAlignment="1">
      <alignment horizontal="left" vertical="center"/>
    </xf>
    <xf numFmtId="4" fontId="83" fillId="0" borderId="33" xfId="8" applyNumberFormat="1" applyFont="1" applyBorder="1" applyAlignment="1">
      <alignment horizontal="right" vertical="center"/>
    </xf>
    <xf numFmtId="0" fontId="83" fillId="0" borderId="0" xfId="8" applyFont="1" applyAlignment="1">
      <alignment horizontal="left" vertical="center"/>
    </xf>
    <xf numFmtId="0" fontId="83" fillId="0" borderId="33" xfId="8" applyFont="1" applyBorder="1" applyAlignment="1">
      <alignment horizontal="left" vertical="center"/>
    </xf>
    <xf numFmtId="0" fontId="83" fillId="0" borderId="33" xfId="8" applyFont="1" applyBorder="1" applyAlignment="1">
      <alignment horizontal="right" vertical="center"/>
    </xf>
    <xf numFmtId="0" fontId="82" fillId="0" borderId="42" xfId="8" applyFont="1" applyBorder="1" applyAlignment="1">
      <alignment horizontal="left" vertical="center"/>
    </xf>
    <xf numFmtId="0" fontId="82" fillId="0" borderId="39" xfId="8" applyFont="1" applyBorder="1" applyAlignment="1">
      <alignment horizontal="left" vertical="center"/>
    </xf>
    <xf numFmtId="4" fontId="83" fillId="0" borderId="39" xfId="8" applyNumberFormat="1" applyFont="1" applyBorder="1" applyAlignment="1">
      <alignment horizontal="right" vertical="center"/>
    </xf>
    <xf numFmtId="0" fontId="82" fillId="0" borderId="38" xfId="8" applyFont="1" applyBorder="1" applyAlignment="1">
      <alignment horizontal="left" vertical="center"/>
    </xf>
    <xf numFmtId="4" fontId="83" fillId="0" borderId="43" xfId="8" applyNumberFormat="1" applyFont="1" applyBorder="1" applyAlignment="1">
      <alignment horizontal="right" vertical="center"/>
    </xf>
    <xf numFmtId="0" fontId="82" fillId="0" borderId="35" xfId="8" applyFont="1" applyBorder="1" applyAlignment="1">
      <alignment horizontal="left" vertical="center"/>
    </xf>
    <xf numFmtId="0" fontId="82" fillId="8" borderId="42" xfId="8" applyFont="1" applyFill="1" applyBorder="1" applyAlignment="1">
      <alignment horizontal="left" vertical="center"/>
    </xf>
    <xf numFmtId="0" fontId="82" fillId="8" borderId="38" xfId="8" applyFont="1" applyFill="1" applyBorder="1" applyAlignment="1">
      <alignment horizontal="left" vertical="center"/>
    </xf>
    <xf numFmtId="4" fontId="82" fillId="8" borderId="39" xfId="8" applyNumberFormat="1" applyFont="1" applyFill="1" applyBorder="1" applyAlignment="1">
      <alignment horizontal="right" vertical="center"/>
    </xf>
    <xf numFmtId="0" fontId="82" fillId="8" borderId="34" xfId="8" applyFont="1" applyFill="1" applyBorder="1" applyAlignment="1">
      <alignment horizontal="left" vertical="center"/>
    </xf>
    <xf numFmtId="0" fontId="82" fillId="8" borderId="35" xfId="8" applyFont="1" applyFill="1" applyBorder="1" applyAlignment="1">
      <alignment horizontal="left" vertical="center"/>
    </xf>
    <xf numFmtId="4" fontId="82" fillId="8" borderId="36" xfId="8" applyNumberFormat="1" applyFont="1" applyFill="1" applyBorder="1" applyAlignment="1">
      <alignment horizontal="right" vertical="center"/>
    </xf>
    <xf numFmtId="0" fontId="83" fillId="0" borderId="44" xfId="8" applyFont="1" applyBorder="1" applyAlignment="1">
      <alignment horizontal="left" vertical="center"/>
    </xf>
    <xf numFmtId="0" fontId="83" fillId="0" borderId="45" xfId="8" applyFont="1" applyBorder="1" applyAlignment="1">
      <alignment horizontal="left" vertical="center"/>
    </xf>
    <xf numFmtId="0" fontId="83" fillId="0" borderId="46" xfId="8" applyFont="1" applyBorder="1" applyAlignment="1">
      <alignment horizontal="left" vertical="center"/>
    </xf>
    <xf numFmtId="0" fontId="83" fillId="0" borderId="47" xfId="8" applyFont="1" applyBorder="1" applyAlignment="1">
      <alignment horizontal="left" vertical="center"/>
    </xf>
    <xf numFmtId="0" fontId="83" fillId="0" borderId="48" xfId="8" applyFont="1" applyBorder="1" applyAlignment="1">
      <alignment horizontal="left" vertical="center"/>
    </xf>
    <xf numFmtId="0" fontId="83" fillId="0" borderId="49" xfId="8" applyFont="1" applyBorder="1" applyAlignment="1">
      <alignment horizontal="left" vertical="center"/>
    </xf>
    <xf numFmtId="0" fontId="83" fillId="0" borderId="50" xfId="8" applyFont="1" applyBorder="1" applyAlignment="1">
      <alignment horizontal="left" vertical="center"/>
    </xf>
    <xf numFmtId="0" fontId="83" fillId="0" borderId="51" xfId="8" applyFont="1" applyBorder="1" applyAlignment="1">
      <alignment horizontal="left" vertical="center"/>
    </xf>
    <xf numFmtId="0" fontId="84" fillId="0" borderId="0" xfId="8" applyFont="1" applyAlignment="1">
      <alignment horizontal="left" vertical="center"/>
    </xf>
    <xf numFmtId="4" fontId="78" fillId="8" borderId="0" xfId="8" applyNumberFormat="1" applyFont="1" applyFill="1" applyAlignment="1">
      <alignment horizontal="right" vertical="center"/>
    </xf>
    <xf numFmtId="0" fontId="78" fillId="0" borderId="52" xfId="8" applyFont="1" applyBorder="1" applyAlignment="1">
      <alignment horizontal="left" vertical="center"/>
    </xf>
    <xf numFmtId="0" fontId="78" fillId="0" borderId="53" xfId="8" applyFont="1" applyBorder="1" applyAlignment="1">
      <alignment horizontal="left" vertical="center"/>
    </xf>
    <xf numFmtId="0" fontId="78" fillId="0" borderId="45" xfId="8" applyFont="1" applyBorder="1" applyAlignment="1">
      <alignment horizontal="left" vertical="center"/>
    </xf>
    <xf numFmtId="0" fontId="78" fillId="0" borderId="53" xfId="8" applyFont="1" applyBorder="1" applyAlignment="1">
      <alignment horizontal="left" vertical="center"/>
    </xf>
    <xf numFmtId="0" fontId="78" fillId="0" borderId="53" xfId="8" applyFont="1" applyBorder="1" applyAlignment="1">
      <alignment horizontal="center" vertical="center"/>
    </xf>
    <xf numFmtId="0" fontId="78" fillId="0" borderId="45" xfId="8" applyFont="1" applyBorder="1" applyAlignment="1">
      <alignment horizontal="center" vertical="center"/>
    </xf>
    <xf numFmtId="0" fontId="78" fillId="0" borderId="54" xfId="8" applyFont="1" applyBorder="1" applyAlignment="1">
      <alignment horizontal="center" vertical="center"/>
    </xf>
    <xf numFmtId="0" fontId="78" fillId="0" borderId="55" xfId="8" applyFont="1" applyBorder="1" applyAlignment="1">
      <alignment horizontal="center" vertical="center"/>
    </xf>
    <xf numFmtId="0" fontId="78" fillId="0" borderId="56" xfId="8" applyFont="1" applyBorder="1" applyAlignment="1">
      <alignment horizontal="center" vertical="center"/>
    </xf>
    <xf numFmtId="0" fontId="78" fillId="8" borderId="0" xfId="8" applyFont="1" applyFill="1" applyAlignment="1">
      <alignment horizontal="right" vertical="center"/>
    </xf>
    <xf numFmtId="0" fontId="78" fillId="0" borderId="0" xfId="8" applyFont="1" applyAlignment="1">
      <alignment horizontal="right" vertical="center"/>
    </xf>
    <xf numFmtId="0" fontId="77" fillId="0" borderId="57" xfId="8" applyFont="1" applyBorder="1" applyAlignment="1">
      <alignment horizontal="left" vertical="center"/>
    </xf>
    <xf numFmtId="0" fontId="77" fillId="0" borderId="43" xfId="8" applyFont="1" applyBorder="1" applyAlignment="1">
      <alignment horizontal="left" vertical="center"/>
    </xf>
    <xf numFmtId="0" fontId="78" fillId="0" borderId="50" xfId="8" applyFont="1" applyBorder="1" applyAlignment="1">
      <alignment horizontal="left" vertical="center"/>
    </xf>
    <xf numFmtId="0" fontId="78" fillId="0" borderId="43" xfId="8" applyFont="1" applyBorder="1" applyAlignment="1">
      <alignment horizontal="left" vertical="center"/>
    </xf>
    <xf numFmtId="0" fontId="78" fillId="0" borderId="50" xfId="8" applyFont="1" applyBorder="1" applyAlignment="1">
      <alignment horizontal="center" vertical="center"/>
    </xf>
    <xf numFmtId="0" fontId="78" fillId="0" borderId="58" xfId="8" applyFont="1" applyBorder="1" applyAlignment="1">
      <alignment horizontal="center" vertical="center"/>
    </xf>
    <xf numFmtId="0" fontId="78" fillId="0" borderId="43" xfId="8" applyFont="1" applyBorder="1" applyAlignment="1">
      <alignment horizontal="center" vertical="center"/>
    </xf>
    <xf numFmtId="0" fontId="78" fillId="0" borderId="51" xfId="8" applyFont="1" applyBorder="1" applyAlignment="1">
      <alignment horizontal="center" vertical="center"/>
    </xf>
    <xf numFmtId="0" fontId="77" fillId="9" borderId="32" xfId="8" applyFont="1" applyFill="1" applyBorder="1" applyAlignment="1">
      <alignment horizontal="left" vertical="center"/>
    </xf>
    <xf numFmtId="0" fontId="78" fillId="9" borderId="0" xfId="8" applyFont="1" applyFill="1" applyAlignment="1">
      <alignment horizontal="left" vertical="center"/>
    </xf>
    <xf numFmtId="0" fontId="78" fillId="9" borderId="0" xfId="8" applyFont="1" applyFill="1" applyAlignment="1">
      <alignment horizontal="left" vertical="center" wrapText="1"/>
    </xf>
    <xf numFmtId="0" fontId="78" fillId="9" borderId="0" xfId="8" applyFont="1" applyFill="1" applyAlignment="1">
      <alignment horizontal="left" vertical="center"/>
    </xf>
    <xf numFmtId="0" fontId="77" fillId="9" borderId="0" xfId="8" applyFont="1" applyFill="1" applyAlignment="1">
      <alignment horizontal="left" vertical="center"/>
    </xf>
    <xf numFmtId="4" fontId="78" fillId="9" borderId="0" xfId="8" applyNumberFormat="1" applyFont="1" applyFill="1" applyAlignment="1">
      <alignment horizontal="right" vertical="center"/>
    </xf>
    <xf numFmtId="0" fontId="78" fillId="9" borderId="33" xfId="8" applyFont="1" applyFill="1" applyBorder="1" applyAlignment="1">
      <alignment horizontal="right" vertical="center"/>
    </xf>
    <xf numFmtId="0" fontId="77" fillId="8" borderId="32" xfId="8" applyFont="1" applyFill="1" applyBorder="1" applyAlignment="1">
      <alignment horizontal="left" vertical="center"/>
    </xf>
    <xf numFmtId="0" fontId="78" fillId="8" borderId="0" xfId="8" applyFont="1" applyFill="1" applyAlignment="1">
      <alignment horizontal="left" vertical="center"/>
    </xf>
    <xf numFmtId="0" fontId="78" fillId="8" borderId="0" xfId="8" applyFont="1" applyFill="1" applyAlignment="1">
      <alignment horizontal="left" vertical="center" wrapText="1"/>
    </xf>
    <xf numFmtId="0" fontId="78" fillId="8" borderId="0" xfId="8" applyFont="1" applyFill="1" applyAlignment="1">
      <alignment horizontal="left" vertical="center"/>
    </xf>
    <xf numFmtId="0" fontId="77" fillId="8" borderId="0" xfId="8" applyFont="1" applyFill="1" applyAlignment="1">
      <alignment horizontal="left" vertical="center"/>
    </xf>
    <xf numFmtId="0" fontId="78" fillId="8" borderId="33" xfId="8" applyFont="1" applyFill="1" applyBorder="1" applyAlignment="1">
      <alignment horizontal="right" vertical="center"/>
    </xf>
    <xf numFmtId="0" fontId="77" fillId="0" borderId="32" xfId="8" applyFont="1" applyBorder="1" applyAlignment="1">
      <alignment horizontal="left" vertical="center"/>
    </xf>
    <xf numFmtId="0" fontId="77" fillId="0" borderId="0" xfId="8" applyFont="1" applyAlignment="1">
      <alignment horizontal="left" vertical="center"/>
    </xf>
    <xf numFmtId="4" fontId="77" fillId="0" borderId="0" xfId="8" applyNumberFormat="1" applyFont="1" applyAlignment="1">
      <alignment horizontal="right" vertical="center"/>
    </xf>
    <xf numFmtId="0" fontId="77" fillId="0" borderId="33" xfId="8" applyFont="1" applyBorder="1" applyAlignment="1">
      <alignment horizontal="right" vertical="center"/>
    </xf>
    <xf numFmtId="0" fontId="77" fillId="0" borderId="0" xfId="8" applyFont="1" applyAlignment="1">
      <alignment horizontal="right" vertical="center"/>
    </xf>
    <xf numFmtId="0" fontId="77" fillId="0" borderId="0" xfId="8" applyFont="1" applyAlignment="1">
      <alignment horizontal="left" vertical="center" wrapText="1"/>
    </xf>
    <xf numFmtId="0" fontId="75" fillId="0" borderId="32" xfId="8" applyBorder="1"/>
    <xf numFmtId="0" fontId="85" fillId="0" borderId="0" xfId="8" applyFont="1" applyAlignment="1">
      <alignment horizontal="right" vertical="center"/>
    </xf>
    <xf numFmtId="0" fontId="85" fillId="0" borderId="0" xfId="8" applyFont="1" applyAlignment="1">
      <alignment horizontal="left" vertical="center" wrapText="1"/>
    </xf>
    <xf numFmtId="0" fontId="85" fillId="0" borderId="0" xfId="8" applyFont="1" applyAlignment="1">
      <alignment horizontal="left" vertical="center"/>
    </xf>
    <xf numFmtId="0" fontId="85" fillId="0" borderId="33" xfId="8" applyFont="1" applyBorder="1" applyAlignment="1">
      <alignment horizontal="left" vertical="center"/>
    </xf>
    <xf numFmtId="0" fontId="75" fillId="0" borderId="34" xfId="8" applyBorder="1"/>
    <xf numFmtId="0" fontId="85" fillId="0" borderId="35" xfId="8" applyFont="1" applyBorder="1" applyAlignment="1">
      <alignment horizontal="right" vertical="center"/>
    </xf>
    <xf numFmtId="0" fontId="85" fillId="0" borderId="35" xfId="8" applyFont="1" applyBorder="1" applyAlignment="1">
      <alignment horizontal="left" vertical="center" wrapText="1"/>
    </xf>
    <xf numFmtId="0" fontId="85" fillId="0" borderId="35" xfId="8" applyFont="1" applyBorder="1" applyAlignment="1">
      <alignment horizontal="left" vertical="center"/>
    </xf>
    <xf numFmtId="0" fontId="85" fillId="0" borderId="36" xfId="8" applyFont="1" applyBorder="1" applyAlignment="1">
      <alignment horizontal="left" vertical="center"/>
    </xf>
    <xf numFmtId="4" fontId="78" fillId="0" borderId="0" xfId="8" applyNumberFormat="1" applyFont="1" applyAlignment="1">
      <alignment horizontal="right" vertical="center"/>
    </xf>
    <xf numFmtId="0" fontId="77" fillId="0" borderId="34" xfId="8" applyFont="1" applyBorder="1" applyAlignment="1">
      <alignment horizontal="left" vertical="center"/>
    </xf>
    <xf numFmtId="0" fontId="77" fillId="0" borderId="35" xfId="8" applyFont="1" applyBorder="1" applyAlignment="1">
      <alignment horizontal="left" vertical="center"/>
    </xf>
    <xf numFmtId="0" fontId="77" fillId="0" borderId="35" xfId="8" applyFont="1" applyBorder="1" applyAlignment="1">
      <alignment horizontal="left" vertical="center" wrapText="1"/>
    </xf>
    <xf numFmtId="4" fontId="77" fillId="0" borderId="35" xfId="8" applyNumberFormat="1" applyFont="1" applyBorder="1" applyAlignment="1">
      <alignment horizontal="right" vertical="center"/>
    </xf>
    <xf numFmtId="0" fontId="77" fillId="0" borderId="36" xfId="8" applyFont="1" applyBorder="1" applyAlignment="1">
      <alignment horizontal="right" vertical="center"/>
    </xf>
    <xf numFmtId="0" fontId="77" fillId="0" borderId="0" xfId="8" applyFont="1" applyAlignment="1" applyProtection="1">
      <alignment horizontal="left" vertical="center" wrapText="1"/>
      <protection locked="0"/>
    </xf>
    <xf numFmtId="0" fontId="77" fillId="0" borderId="0" xfId="8" applyFont="1" applyAlignment="1" applyProtection="1">
      <alignment horizontal="left" vertical="center"/>
      <protection locked="0"/>
    </xf>
    <xf numFmtId="0" fontId="77" fillId="0" borderId="33" xfId="8" applyFont="1" applyBorder="1" applyAlignment="1" applyProtection="1">
      <alignment horizontal="left" vertical="center"/>
      <protection locked="0"/>
    </xf>
    <xf numFmtId="4" fontId="77" fillId="0" borderId="0" xfId="8" applyNumberFormat="1" applyFont="1" applyAlignment="1" applyProtection="1">
      <alignment horizontal="right" vertical="center"/>
      <protection locked="0"/>
    </xf>
    <xf numFmtId="4" fontId="77" fillId="0" borderId="35" xfId="8" applyNumberFormat="1" applyFont="1" applyBorder="1" applyAlignment="1" applyProtection="1">
      <alignment horizontal="right" vertical="center"/>
      <protection locked="0"/>
    </xf>
    <xf numFmtId="4" fontId="29" fillId="0" borderId="20" xfId="0" applyNumberFormat="1" applyFont="1" applyBorder="1" applyProtection="1">
      <protection locked="0"/>
    </xf>
    <xf numFmtId="4" fontId="29" fillId="5" borderId="20" xfId="0" applyNumberFormat="1" applyFont="1" applyFill="1" applyBorder="1" applyProtection="1">
      <protection locked="0"/>
    </xf>
    <xf numFmtId="167" fontId="19" fillId="0" borderId="10" xfId="0" applyNumberFormat="1" applyFont="1" applyBorder="1" applyAlignment="1" applyProtection="1">
      <alignment horizontal="center" vertical="center"/>
      <protection locked="0"/>
    </xf>
    <xf numFmtId="167" fontId="18" fillId="0" borderId="10" xfId="0" applyNumberFormat="1" applyFont="1" applyBorder="1" applyAlignment="1" applyProtection="1">
      <alignment horizontal="center" vertical="center"/>
      <protection locked="0"/>
    </xf>
    <xf numFmtId="167" fontId="23" fillId="0" borderId="10" xfId="0" applyNumberFormat="1" applyFont="1" applyBorder="1" applyAlignment="1" applyProtection="1">
      <alignment horizontal="center" vertical="center"/>
      <protection locked="0"/>
    </xf>
    <xf numFmtId="167" fontId="24" fillId="0" borderId="10" xfId="0" applyNumberFormat="1" applyFont="1" applyBorder="1" applyAlignment="1" applyProtection="1">
      <alignment horizontal="center" vertical="center"/>
      <protection locked="0"/>
    </xf>
  </cellXfs>
  <cellStyles count="9">
    <cellStyle name="Hypertextový odkaz 2" xfId="6" xr:uid="{7C329EBF-ADB4-49FF-9EFB-E33F3BF3376C}"/>
    <cellStyle name="Měna" xfId="1" builtinId="4"/>
    <cellStyle name="Normální" xfId="0" builtinId="0"/>
    <cellStyle name="Normální 2" xfId="3" xr:uid="{94274D18-6E4F-4FF4-91D0-C285A8F0B55A}"/>
    <cellStyle name="Normální 3" xfId="4" xr:uid="{E2A671C6-B4E0-4899-B21D-AF6CE364D354}"/>
    <cellStyle name="Normální 4" xfId="5" xr:uid="{D2DF1F44-477D-4A52-B8EA-0EE26361CA90}"/>
    <cellStyle name="Normální 5" xfId="7" xr:uid="{9872C382-A191-4B33-92F4-C6D1CCCA8C27}"/>
    <cellStyle name="Normální 6" xfId="8" xr:uid="{8F370217-C3B8-424C-AEE4-620ACA353667}"/>
    <cellStyle name="normální_specifikace mat.-kanal.přípojky A-H" xfId="2" xr:uid="{DC0385AB-EB59-4BC3-91EE-9F9610FA8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C639E5AD-6F4C-40D9-A34B-24DDE78B5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309039FC-D5A3-4333-88AD-06D45B10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B772593-FFE5-4B4A-882B-0FC75690B60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6D0567B-16A6-44F9-A834-BF76C647672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D1B1897B-BEA1-44D3-926F-BF7F8FFEA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794B9C71-DEE2-47BF-AAD4-811888ECC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arlovy%20Vary\!DPS%20Sady%20Karla%20IV\_%20PDF%20tisk%20DSP\03%20ROZPOCTY%20+%20PRILOHY\SO%2002%20Vegeta&#269;n&#237;%20prvky\Sady%20Karla%20IV_VP_slepy_2023_12_19.xls" TargetMode="External"/><Relationship Id="rId1" Type="http://schemas.openxmlformats.org/officeDocument/2006/relationships/externalLinkPath" Target="file:///\\SERVERROMANA\E_server_2\Karlovy%20Vary\!DPS%20Sady%20Karla%20IV\_%20PDF%20tisk%20DSP\03%20ROZPOCTY%20+%20PRILOHY\SO%2002%20Vegeta&#269;n&#237;%20prvky\Sady%20Karla%20IV_VP_slepy_2023_12_19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1A%20Komunikace%20kostky\SO01A_VV_VD00323%20-%20Karlovy%20Vary,%20Sady%20Karla%20IV.xlsx" TargetMode="External"/><Relationship Id="rId1" Type="http://schemas.openxmlformats.org/officeDocument/2006/relationships/externalLinkPath" Target="file:///\\SERVERROMANA\E_server_2\Karlovy%20Vary\!DPS%20Sady%20Karla%20IV\_%20PDF%20tisk%20DSP_KV\Stavebni%20prace\03%20ROZPOCTY%20+%20PRILOHY\SO%2001A%20Komunikace%20kostky\SO01A_VV_VD00323%20-%20Karlovy%20Vary,%20Sady%20Karla%20I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1A%20Komunikace%20kostky\SO01A_VV_Karlovy%20Vary.xlsx" TargetMode="External"/><Relationship Id="rId1" Type="http://schemas.openxmlformats.org/officeDocument/2006/relationships/externalLinkPath" Target="SO%2001A%20Komunikace%20kostky/SO01A_VV_Karlovy%20V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VORN"/>
      <sheetName val="Stavební rozpočet"/>
    </sheetNames>
    <sheetDataSet>
      <sheetData sheetId="0" refreshError="1"/>
      <sheetData sheetId="1">
        <row r="15">
          <cell r="I15">
            <v>0</v>
          </cell>
        </row>
        <row r="36">
          <cell r="I36">
            <v>0</v>
          </cell>
        </row>
      </sheetData>
      <sheetData sheetId="2">
        <row r="2">
          <cell r="C2" t="str">
            <v>Karlovy Vary, Sady Karla IV.-revitalizace veřejného prostranství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101 - Silnice"/>
      <sheetName val="VRN - Vedlejší rozpočtové..."/>
      <sheetName val="Pokyny pro vyplnění"/>
    </sheetNames>
    <sheetDataSet>
      <sheetData sheetId="0">
        <row r="6">
          <cell r="K6" t="str">
            <v>Karlovy Vary, Sady Karla IV – revitalizace veřejného prostranství</v>
          </cell>
        </row>
        <row r="8">
          <cell r="AN8" t="str">
            <v>18. 12. 2023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2">
          <cell r="J32">
            <v>0</v>
          </cell>
        </row>
      </sheetData>
      <sheetData sheetId="2">
        <row r="32">
          <cell r="J32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101 - Silnice"/>
      <sheetName val="VRN - Vedlejší rozpočtové..."/>
      <sheetName val="Pokyny pro vyplnění"/>
    </sheetNames>
    <sheetDataSet>
      <sheetData sheetId="0">
        <row r="6">
          <cell r="K6" t="str">
            <v>Karlovy Vary, Sady Karla IV – revitalizace veřejného prostranství</v>
          </cell>
        </row>
        <row r="8">
          <cell r="AN8" t="str">
            <v>18. 12. 2023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13202111" TargetMode="External"/><Relationship Id="rId18" Type="http://schemas.openxmlformats.org/officeDocument/2006/relationships/hyperlink" Target="https://podminky.urs.cz/item/CS_URS_2023_02/162751117" TargetMode="External"/><Relationship Id="rId26" Type="http://schemas.openxmlformats.org/officeDocument/2006/relationships/hyperlink" Target="https://podminky.urs.cz/item/CS_URS_2023_02/212752401" TargetMode="External"/><Relationship Id="rId39" Type="http://schemas.openxmlformats.org/officeDocument/2006/relationships/hyperlink" Target="https://podminky.urs.cz/item/CS_URS_2023_02/914111111" TargetMode="External"/><Relationship Id="rId21" Type="http://schemas.openxmlformats.org/officeDocument/2006/relationships/hyperlink" Target="https://podminky.urs.cz/item/CS_URS_2023_02/171251201" TargetMode="External"/><Relationship Id="rId34" Type="http://schemas.openxmlformats.org/officeDocument/2006/relationships/hyperlink" Target="https://podminky.urs.cz/item/CS_URS_2023_02/573231108" TargetMode="External"/><Relationship Id="rId42" Type="http://schemas.openxmlformats.org/officeDocument/2006/relationships/hyperlink" Target="https://podminky.urs.cz/item/CS_URS_2023_02/915211112" TargetMode="External"/><Relationship Id="rId47" Type="http://schemas.openxmlformats.org/officeDocument/2006/relationships/hyperlink" Target="https://podminky.urs.cz/item/CS_URS_2023_02/919732211" TargetMode="External"/><Relationship Id="rId50" Type="http://schemas.openxmlformats.org/officeDocument/2006/relationships/hyperlink" Target="https://podminky.urs.cz/item/CS_URS_2023_02/966006211" TargetMode="External"/><Relationship Id="rId55" Type="http://schemas.openxmlformats.org/officeDocument/2006/relationships/hyperlink" Target="https://podminky.urs.cz/item/CS_URS_2023_02/997211519" TargetMode="External"/><Relationship Id="rId7" Type="http://schemas.openxmlformats.org/officeDocument/2006/relationships/hyperlink" Target="https://podminky.urs.cz/item/CS_URS_2023_02/113107225" TargetMode="External"/><Relationship Id="rId12" Type="http://schemas.openxmlformats.org/officeDocument/2006/relationships/hyperlink" Target="https://podminky.urs.cz/item/CS_URS_2023_02/113154234" TargetMode="External"/><Relationship Id="rId17" Type="http://schemas.openxmlformats.org/officeDocument/2006/relationships/hyperlink" Target="https://podminky.urs.cz/item/CS_URS_2023_02/132251101" TargetMode="External"/><Relationship Id="rId25" Type="http://schemas.openxmlformats.org/officeDocument/2006/relationships/hyperlink" Target="https://podminky.urs.cz/item/CS_URS_2023_02/211971121" TargetMode="External"/><Relationship Id="rId33" Type="http://schemas.openxmlformats.org/officeDocument/2006/relationships/hyperlink" Target="https://podminky.urs.cz/item/CS_URS_2023_02/573231106" TargetMode="External"/><Relationship Id="rId38" Type="http://schemas.openxmlformats.org/officeDocument/2006/relationships/hyperlink" Target="https://podminky.urs.cz/item/CS_URS_2023_02/899204112" TargetMode="External"/><Relationship Id="rId46" Type="http://schemas.openxmlformats.org/officeDocument/2006/relationships/hyperlink" Target="https://podminky.urs.cz/item/CS_URS_2023_02/916241213" TargetMode="External"/><Relationship Id="rId2" Type="http://schemas.openxmlformats.org/officeDocument/2006/relationships/hyperlink" Target="https://podminky.urs.cz/item/CS_URS_2023_02/113106161" TargetMode="External"/><Relationship Id="rId16" Type="http://schemas.openxmlformats.org/officeDocument/2006/relationships/hyperlink" Target="https://podminky.urs.cz/item/CS_URS_2023_02/131251100" TargetMode="External"/><Relationship Id="rId20" Type="http://schemas.openxmlformats.org/officeDocument/2006/relationships/hyperlink" Target="https://podminky.urs.cz/item/CS_URS_2023_02/171201231" TargetMode="External"/><Relationship Id="rId29" Type="http://schemas.openxmlformats.org/officeDocument/2006/relationships/hyperlink" Target="https://podminky.urs.cz/item/CS_URS_2023_02/564861111" TargetMode="External"/><Relationship Id="rId41" Type="http://schemas.openxmlformats.org/officeDocument/2006/relationships/hyperlink" Target="https://podminky.urs.cz/item/CS_URS_2023_02/914511112" TargetMode="External"/><Relationship Id="rId54" Type="http://schemas.openxmlformats.org/officeDocument/2006/relationships/hyperlink" Target="https://podminky.urs.cz/item/CS_URS_2023_02/997211511" TargetMode="External"/><Relationship Id="rId1" Type="http://schemas.openxmlformats.org/officeDocument/2006/relationships/hyperlink" Target="https://podminky.urs.cz/item/CS_URS_2023_02/113106123" TargetMode="External"/><Relationship Id="rId6" Type="http://schemas.openxmlformats.org/officeDocument/2006/relationships/hyperlink" Target="https://podminky.urs.cz/item/CS_URS_2023_02/113107223" TargetMode="External"/><Relationship Id="rId11" Type="http://schemas.openxmlformats.org/officeDocument/2006/relationships/hyperlink" Target="https://podminky.urs.cz/item/CS_URS_2023_02/113154224" TargetMode="External"/><Relationship Id="rId24" Type="http://schemas.openxmlformats.org/officeDocument/2006/relationships/hyperlink" Target="https://podminky.urs.cz/item/CS_URS_2023_02/211561111" TargetMode="External"/><Relationship Id="rId32" Type="http://schemas.openxmlformats.org/officeDocument/2006/relationships/hyperlink" Target="https://podminky.urs.cz/item/CS_URS_2023_02/567142111" TargetMode="External"/><Relationship Id="rId37" Type="http://schemas.openxmlformats.org/officeDocument/2006/relationships/hyperlink" Target="https://podminky.urs.cz/item/CS_URS_2023_02/899203211" TargetMode="External"/><Relationship Id="rId40" Type="http://schemas.openxmlformats.org/officeDocument/2006/relationships/hyperlink" Target="https://podminky.urs.cz/item/CS_URS_2023_02/914111121" TargetMode="External"/><Relationship Id="rId45" Type="http://schemas.openxmlformats.org/officeDocument/2006/relationships/hyperlink" Target="https://podminky.urs.cz/item/CS_URS_2023_02/915621111" TargetMode="External"/><Relationship Id="rId53" Type="http://schemas.openxmlformats.org/officeDocument/2006/relationships/hyperlink" Target="https://podminky.urs.cz/item/CS_URS_2023_02/997013875" TargetMode="External"/><Relationship Id="rId5" Type="http://schemas.openxmlformats.org/officeDocument/2006/relationships/hyperlink" Target="https://podminky.urs.cz/item/CS_URS_2023_02/113107162" TargetMode="External"/><Relationship Id="rId15" Type="http://schemas.openxmlformats.org/officeDocument/2006/relationships/hyperlink" Target="https://podminky.urs.cz/item/CS_URS_2023_02/122251104" TargetMode="External"/><Relationship Id="rId23" Type="http://schemas.openxmlformats.org/officeDocument/2006/relationships/hyperlink" Target="https://podminky.urs.cz/item/CS_URS_2023_02/181951112" TargetMode="External"/><Relationship Id="rId28" Type="http://schemas.openxmlformats.org/officeDocument/2006/relationships/hyperlink" Target="https://podminky.urs.cz/item/CS_URS_2023_02/564851111" TargetMode="External"/><Relationship Id="rId36" Type="http://schemas.openxmlformats.org/officeDocument/2006/relationships/hyperlink" Target="https://podminky.urs.cz/item/CS_URS_2023_02/591211111.2" TargetMode="External"/><Relationship Id="rId49" Type="http://schemas.openxmlformats.org/officeDocument/2006/relationships/hyperlink" Target="https://podminky.urs.cz/item/CS_URS_2023_02/966006132" TargetMode="External"/><Relationship Id="rId57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2/113107324" TargetMode="External"/><Relationship Id="rId19" Type="http://schemas.openxmlformats.org/officeDocument/2006/relationships/hyperlink" Target="https://podminky.urs.cz/item/CS_URS_2023_02/162751119" TargetMode="External"/><Relationship Id="rId31" Type="http://schemas.openxmlformats.org/officeDocument/2006/relationships/hyperlink" Target="https://podminky.urs.cz/item/CS_URS_2023_02/567132115" TargetMode="External"/><Relationship Id="rId44" Type="http://schemas.openxmlformats.org/officeDocument/2006/relationships/hyperlink" Target="https://podminky.urs.cz/item/CS_URS_2023_02/915611111" TargetMode="External"/><Relationship Id="rId52" Type="http://schemas.openxmlformats.org/officeDocument/2006/relationships/hyperlink" Target="https://podminky.urs.cz/item/CS_URS_2023_02/997013873" TargetMode="External"/><Relationship Id="rId4" Type="http://schemas.openxmlformats.org/officeDocument/2006/relationships/hyperlink" Target="https://podminky.urs.cz/item/CS_URS_2023_02/113107142" TargetMode="External"/><Relationship Id="rId9" Type="http://schemas.openxmlformats.org/officeDocument/2006/relationships/hyperlink" Target="https://podminky.urs.cz/item/CS_URS_2023_02/113107241" TargetMode="External"/><Relationship Id="rId14" Type="http://schemas.openxmlformats.org/officeDocument/2006/relationships/hyperlink" Target="https://podminky.urs.cz/item/CS_URS_2023_02/113203111" TargetMode="External"/><Relationship Id="rId22" Type="http://schemas.openxmlformats.org/officeDocument/2006/relationships/hyperlink" Target="https://podminky.urs.cz/item/CS_URS_2023_02/174151101" TargetMode="External"/><Relationship Id="rId27" Type="http://schemas.openxmlformats.org/officeDocument/2006/relationships/hyperlink" Target="https://podminky.urs.cz/item/CS_URS_2023_02/213141112" TargetMode="External"/><Relationship Id="rId30" Type="http://schemas.openxmlformats.org/officeDocument/2006/relationships/hyperlink" Target="https://podminky.urs.cz/item/CS_URS_2023_02/564871116" TargetMode="External"/><Relationship Id="rId35" Type="http://schemas.openxmlformats.org/officeDocument/2006/relationships/hyperlink" Target="https://podminky.urs.cz/item/CS_URS_2023_02/591211111.1" TargetMode="External"/><Relationship Id="rId43" Type="http://schemas.openxmlformats.org/officeDocument/2006/relationships/hyperlink" Target="https://podminky.urs.cz/item/CS_URS_2023_02/915231112" TargetMode="External"/><Relationship Id="rId48" Type="http://schemas.openxmlformats.org/officeDocument/2006/relationships/hyperlink" Target="https://podminky.urs.cz/item/CS_URS_2023_02/919735112" TargetMode="External"/><Relationship Id="rId56" Type="http://schemas.openxmlformats.org/officeDocument/2006/relationships/hyperlink" Target="https://podminky.urs.cz/item/CS_URS_2023_02/998223011" TargetMode="External"/><Relationship Id="rId8" Type="http://schemas.openxmlformats.org/officeDocument/2006/relationships/hyperlink" Target="https://podminky.urs.cz/item/CS_URS_2023_02/113107230" TargetMode="External"/><Relationship Id="rId51" Type="http://schemas.openxmlformats.org/officeDocument/2006/relationships/hyperlink" Target="https://podminky.urs.cz/item/CS_URS_2023_02/997013861" TargetMode="External"/><Relationship Id="rId3" Type="http://schemas.openxmlformats.org/officeDocument/2006/relationships/hyperlink" Target="https://podminky.urs.cz/item/CS_URS_2023_02/1131071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900B-A376-4720-8DF6-3A4A1FE71505}">
  <dimension ref="A1:B30"/>
  <sheetViews>
    <sheetView tabSelected="1" workbookViewId="0">
      <selection activeCell="J27" sqref="J27"/>
    </sheetView>
  </sheetViews>
  <sheetFormatPr defaultRowHeight="15" x14ac:dyDescent="0.25"/>
  <cols>
    <col min="1" max="1" width="42.7109375" customWidth="1"/>
    <col min="2" max="2" width="75.28515625" customWidth="1"/>
  </cols>
  <sheetData>
    <row r="1" spans="1:2" ht="15.75" x14ac:dyDescent="0.25">
      <c r="A1" s="1" t="s">
        <v>0</v>
      </c>
      <c r="B1" s="2"/>
    </row>
    <row r="2" spans="1:2" x14ac:dyDescent="0.25">
      <c r="A2" s="3" t="s">
        <v>1</v>
      </c>
      <c r="B2" s="4" t="s">
        <v>5</v>
      </c>
    </row>
    <row r="3" spans="1:2" x14ac:dyDescent="0.25">
      <c r="A3" s="3" t="s">
        <v>2</v>
      </c>
      <c r="B3" s="2" t="s">
        <v>6</v>
      </c>
    </row>
    <row r="4" spans="1:2" x14ac:dyDescent="0.25">
      <c r="A4" s="3" t="s">
        <v>3</v>
      </c>
      <c r="B4" s="4" t="s">
        <v>7</v>
      </c>
    </row>
    <row r="5" spans="1:2" x14ac:dyDescent="0.25">
      <c r="A5" s="3" t="s">
        <v>4</v>
      </c>
      <c r="B5" s="5" t="s">
        <v>8</v>
      </c>
    </row>
    <row r="6" spans="1:2" ht="15.75" thickBot="1" x14ac:dyDescent="0.3"/>
    <row r="7" spans="1:2" ht="18.75" thickBot="1" x14ac:dyDescent="0.3">
      <c r="A7" s="356" t="s">
        <v>16</v>
      </c>
      <c r="B7" s="357"/>
    </row>
    <row r="8" spans="1:2" ht="15.75" x14ac:dyDescent="0.25">
      <c r="A8" s="358" t="s">
        <v>11</v>
      </c>
      <c r="B8" s="359"/>
    </row>
    <row r="9" spans="1:2" x14ac:dyDescent="0.25">
      <c r="A9" s="6" t="s">
        <v>9</v>
      </c>
      <c r="B9" s="352">
        <f>SO01_mlat_KL!C29</f>
        <v>0</v>
      </c>
    </row>
    <row r="10" spans="1:2" x14ac:dyDescent="0.25">
      <c r="A10" s="7" t="s">
        <v>15</v>
      </c>
      <c r="B10" s="352">
        <f>SO01_mlat_KL!F29</f>
        <v>0</v>
      </c>
    </row>
    <row r="11" spans="1:2" x14ac:dyDescent="0.25">
      <c r="A11" s="8" t="s">
        <v>10</v>
      </c>
      <c r="B11" s="352">
        <f>SUM(B9:B10)</f>
        <v>0</v>
      </c>
    </row>
    <row r="12" spans="1:2" ht="15.75" x14ac:dyDescent="0.25">
      <c r="A12" s="360" t="s">
        <v>12</v>
      </c>
      <c r="B12" s="361"/>
    </row>
    <row r="13" spans="1:2" x14ac:dyDescent="0.25">
      <c r="A13" s="6" t="s">
        <v>1318</v>
      </c>
      <c r="B13" s="352">
        <f>SUM('SO01A_kostky SO 101'!J32,'VRN - Vedlejší rozpočtové...'!J32)</f>
        <v>0</v>
      </c>
    </row>
    <row r="14" spans="1:2" x14ac:dyDescent="0.25">
      <c r="A14" s="7" t="s">
        <v>15</v>
      </c>
      <c r="B14" s="352">
        <f>SUM('SO01A_kostky SO 101'!J35,'VRN - Vedlejší rozpočtové...'!J35)</f>
        <v>0</v>
      </c>
    </row>
    <row r="15" spans="1:2" ht="15.75" thickBot="1" x14ac:dyDescent="0.3">
      <c r="A15" s="8" t="s">
        <v>10</v>
      </c>
      <c r="B15" s="352">
        <f>SUM(B13:B14)</f>
        <v>0</v>
      </c>
    </row>
    <row r="16" spans="1:2" ht="15.75" x14ac:dyDescent="0.25">
      <c r="A16" s="354" t="s">
        <v>1194</v>
      </c>
      <c r="B16" s="355"/>
    </row>
    <row r="17" spans="1:2" x14ac:dyDescent="0.25">
      <c r="A17" s="6" t="s">
        <v>9</v>
      </c>
      <c r="B17" s="352">
        <f>SO03_mobiliář_KL!C29</f>
        <v>0</v>
      </c>
    </row>
    <row r="18" spans="1:2" x14ac:dyDescent="0.25">
      <c r="A18" s="7" t="s">
        <v>15</v>
      </c>
      <c r="B18" s="352">
        <f>SO03_mobiliář_KL!F29</f>
        <v>0</v>
      </c>
    </row>
    <row r="19" spans="1:2" ht="15.75" thickBot="1" x14ac:dyDescent="0.3">
      <c r="A19" s="8" t="s">
        <v>10</v>
      </c>
      <c r="B19" s="352">
        <f>SUM(B17:B18)</f>
        <v>0</v>
      </c>
    </row>
    <row r="20" spans="1:2" ht="15.75" x14ac:dyDescent="0.25">
      <c r="A20" s="354" t="s">
        <v>13</v>
      </c>
      <c r="B20" s="355"/>
    </row>
    <row r="21" spans="1:2" x14ac:dyDescent="0.25">
      <c r="A21" s="6" t="s">
        <v>9</v>
      </c>
      <c r="B21" s="352">
        <f>SO04_Osvětlení!E42</f>
        <v>0</v>
      </c>
    </row>
    <row r="22" spans="1:2" x14ac:dyDescent="0.25">
      <c r="A22" s="7" t="s">
        <v>15</v>
      </c>
      <c r="B22" s="352">
        <f>SO04_Osvětlení!E43</f>
        <v>0</v>
      </c>
    </row>
    <row r="23" spans="1:2" ht="15.75" thickBot="1" x14ac:dyDescent="0.3">
      <c r="A23" s="8" t="s">
        <v>10</v>
      </c>
      <c r="B23" s="352">
        <f>SUM(B21:B22)</f>
        <v>0</v>
      </c>
    </row>
    <row r="24" spans="1:2" ht="15.75" x14ac:dyDescent="0.25">
      <c r="A24" s="354" t="s">
        <v>14</v>
      </c>
      <c r="B24" s="355"/>
    </row>
    <row r="25" spans="1:2" x14ac:dyDescent="0.25">
      <c r="A25" s="6" t="s">
        <v>9</v>
      </c>
      <c r="B25" s="352">
        <f>SO05_Závlaha!H121</f>
        <v>0</v>
      </c>
    </row>
    <row r="26" spans="1:2" x14ac:dyDescent="0.25">
      <c r="A26" s="7" t="s">
        <v>15</v>
      </c>
      <c r="B26" s="352">
        <f>SO05_Závlaha!H122</f>
        <v>0</v>
      </c>
    </row>
    <row r="27" spans="1:2" x14ac:dyDescent="0.25">
      <c r="A27" s="8" t="s">
        <v>10</v>
      </c>
      <c r="B27" s="352">
        <f>SUM(B25:B26)</f>
        <v>0</v>
      </c>
    </row>
    <row r="29" spans="1:2" ht="15.75" x14ac:dyDescent="0.25">
      <c r="A29" s="124" t="s">
        <v>396</v>
      </c>
      <c r="B29" s="353">
        <f>B9+B13+B17+B21+B25</f>
        <v>0</v>
      </c>
    </row>
    <row r="30" spans="1:2" ht="15.75" x14ac:dyDescent="0.25">
      <c r="A30" s="125" t="s">
        <v>10</v>
      </c>
      <c r="B30" s="353">
        <f>B11+B15+B19+B23+B27</f>
        <v>0</v>
      </c>
    </row>
  </sheetData>
  <sheetProtection algorithmName="SHA-512" hashValue="d7i8TE03hcN38VpAo2vFX8jrVz+mx+H2gMwYlxNAoE/1ddNzQ1kRY9zIWnXX0OAHp/CHk3C3Ufk0zi+d4Zed+Q==" saltValue="ZvwHAlETbeQDKoCSeG7Oiw==" spinCount="100000" sheet="1" objects="1" scenarios="1"/>
  <mergeCells count="6">
    <mergeCell ref="A24:B24"/>
    <mergeCell ref="A7:B7"/>
    <mergeCell ref="A8:B8"/>
    <mergeCell ref="A12:B12"/>
    <mergeCell ref="A20:B20"/>
    <mergeCell ref="A16:B16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1470-EDF6-4747-BFB4-99A6EDAF4D40}">
  <sheetPr>
    <pageSetUpPr fitToPage="1"/>
  </sheetPr>
  <dimension ref="A1:I37"/>
  <sheetViews>
    <sheetView workbookViewId="0">
      <selection activeCell="K12" sqref="K12"/>
    </sheetView>
  </sheetViews>
  <sheetFormatPr defaultColWidth="12.140625" defaultRowHeight="15" customHeight="1" x14ac:dyDescent="0.25"/>
  <cols>
    <col min="1" max="1" width="9.140625" style="387" customWidth="1"/>
    <col min="2" max="2" width="12.85546875" style="387" customWidth="1"/>
    <col min="3" max="3" width="27.140625" style="387" customWidth="1"/>
    <col min="4" max="4" width="10" style="387" customWidth="1"/>
    <col min="5" max="5" width="14" style="387" customWidth="1"/>
    <col min="6" max="6" width="27.140625" style="387" customWidth="1"/>
    <col min="7" max="7" width="9.140625" style="387" customWidth="1"/>
    <col min="8" max="8" width="12.85546875" style="387" customWidth="1"/>
    <col min="9" max="9" width="27.140625" style="387" customWidth="1"/>
    <col min="10" max="16384" width="12.140625" style="387"/>
  </cols>
  <sheetData>
    <row r="1" spans="1:9" ht="54.75" customHeight="1" x14ac:dyDescent="0.25">
      <c r="A1" s="385" t="s">
        <v>178</v>
      </c>
      <c r="B1" s="386"/>
      <c r="C1" s="386"/>
      <c r="D1" s="386"/>
      <c r="E1" s="386"/>
      <c r="F1" s="386"/>
      <c r="G1" s="386"/>
      <c r="H1" s="386"/>
      <c r="I1" s="386"/>
    </row>
    <row r="2" spans="1:9" x14ac:dyDescent="0.25">
      <c r="A2" s="388" t="s">
        <v>1</v>
      </c>
      <c r="B2" s="389"/>
      <c r="C2" s="390" t="str">
        <f>SO01_mlat!C2</f>
        <v>Karlovy Vary, Sady Karla IV.-revitalizace veřejného prostranství</v>
      </c>
      <c r="D2" s="391"/>
      <c r="E2" s="392" t="s">
        <v>3</v>
      </c>
      <c r="F2" s="392" t="str">
        <f>SO01_mlat!I2</f>
        <v>Statutární město Karlovy Vary</v>
      </c>
      <c r="G2" s="389"/>
      <c r="H2" s="392" t="s">
        <v>179</v>
      </c>
      <c r="I2" s="393" t="s">
        <v>180</v>
      </c>
    </row>
    <row r="3" spans="1:9" ht="15" customHeight="1" x14ac:dyDescent="0.25">
      <c r="A3" s="394"/>
      <c r="B3" s="395"/>
      <c r="C3" s="396"/>
      <c r="D3" s="396"/>
      <c r="E3" s="395"/>
      <c r="F3" s="395"/>
      <c r="G3" s="395"/>
      <c r="H3" s="395"/>
      <c r="I3" s="397"/>
    </row>
    <row r="4" spans="1:9" x14ac:dyDescent="0.25">
      <c r="A4" s="398" t="s">
        <v>181</v>
      </c>
      <c r="B4" s="395"/>
      <c r="C4" s="399" t="str">
        <f>SO01_mlat!C4</f>
        <v>SO 01 Komunikace a zpevněné plochy-mlat</v>
      </c>
      <c r="D4" s="395"/>
      <c r="E4" s="399" t="s">
        <v>182</v>
      </c>
      <c r="F4" s="399" t="str">
        <f>SO01_mlat!I4</f>
        <v>Ing. Přemysl Krejčiřík, Ph.D.</v>
      </c>
      <c r="G4" s="395"/>
      <c r="H4" s="399" t="s">
        <v>179</v>
      </c>
      <c r="I4" s="397" t="s">
        <v>183</v>
      </c>
    </row>
    <row r="5" spans="1:9" ht="15" customHeight="1" x14ac:dyDescent="0.25">
      <c r="A5" s="394"/>
      <c r="B5" s="395"/>
      <c r="C5" s="395"/>
      <c r="D5" s="395"/>
      <c r="E5" s="395"/>
      <c r="F5" s="395"/>
      <c r="G5" s="395"/>
      <c r="H5" s="395"/>
      <c r="I5" s="397"/>
    </row>
    <row r="6" spans="1:9" x14ac:dyDescent="0.25">
      <c r="A6" s="398" t="s">
        <v>2</v>
      </c>
      <c r="B6" s="395"/>
      <c r="C6" s="399" t="str">
        <f>SO01_mlat!C6</f>
        <v>Karlovy Vary</v>
      </c>
      <c r="D6" s="395"/>
      <c r="E6" s="399" t="s">
        <v>184</v>
      </c>
      <c r="F6" s="501" t="str">
        <f>SO01_mlat!I6</f>
        <v> </v>
      </c>
      <c r="G6" s="502"/>
      <c r="H6" s="399" t="s">
        <v>179</v>
      </c>
      <c r="I6" s="397" t="s">
        <v>180</v>
      </c>
    </row>
    <row r="7" spans="1:9" ht="15" customHeight="1" x14ac:dyDescent="0.25">
      <c r="A7" s="394"/>
      <c r="B7" s="395"/>
      <c r="C7" s="395"/>
      <c r="D7" s="395"/>
      <c r="E7" s="395"/>
      <c r="F7" s="502"/>
      <c r="G7" s="502"/>
      <c r="H7" s="395"/>
      <c r="I7" s="397"/>
    </row>
    <row r="8" spans="1:9" x14ac:dyDescent="0.25">
      <c r="A8" s="398" t="s">
        <v>185</v>
      </c>
      <c r="B8" s="395"/>
      <c r="C8" s="399" t="str">
        <f>SO01_mlat!G4</f>
        <v xml:space="preserve"> </v>
      </c>
      <c r="D8" s="395"/>
      <c r="E8" s="399" t="s">
        <v>186</v>
      </c>
      <c r="F8" s="399" t="str">
        <f>SO01_mlat!G6</f>
        <v xml:space="preserve"> </v>
      </c>
      <c r="G8" s="395"/>
      <c r="H8" s="395" t="s">
        <v>187</v>
      </c>
      <c r="I8" s="400">
        <v>56</v>
      </c>
    </row>
    <row r="9" spans="1:9" x14ac:dyDescent="0.25">
      <c r="A9" s="394"/>
      <c r="B9" s="395"/>
      <c r="C9" s="395"/>
      <c r="D9" s="395"/>
      <c r="E9" s="395"/>
      <c r="F9" s="395"/>
      <c r="G9" s="395"/>
      <c r="H9" s="395"/>
      <c r="I9" s="397"/>
    </row>
    <row r="10" spans="1:9" x14ac:dyDescent="0.25">
      <c r="A10" s="398" t="s">
        <v>188</v>
      </c>
      <c r="B10" s="395"/>
      <c r="C10" s="399" t="str">
        <f>SO01_mlat!C8</f>
        <v xml:space="preserve"> </v>
      </c>
      <c r="D10" s="395"/>
      <c r="E10" s="399" t="s">
        <v>189</v>
      </c>
      <c r="F10" s="399" t="str">
        <f>SO01_mlat!I8</f>
        <v>Ing. Aneta Dalajková</v>
      </c>
      <c r="G10" s="395"/>
      <c r="H10" s="395" t="s">
        <v>4</v>
      </c>
      <c r="I10" s="401" t="str">
        <f>SO01_mlat!G8</f>
        <v>18.12.2023</v>
      </c>
    </row>
    <row r="11" spans="1:9" x14ac:dyDescent="0.25">
      <c r="A11" s="402"/>
      <c r="B11" s="403"/>
      <c r="C11" s="403"/>
      <c r="D11" s="403"/>
      <c r="E11" s="403"/>
      <c r="F11" s="403"/>
      <c r="G11" s="403"/>
      <c r="H11" s="403"/>
      <c r="I11" s="404"/>
    </row>
    <row r="12" spans="1:9" ht="23.25" x14ac:dyDescent="0.25">
      <c r="A12" s="405" t="s">
        <v>190</v>
      </c>
      <c r="B12" s="405"/>
      <c r="C12" s="405"/>
      <c r="D12" s="405"/>
      <c r="E12" s="405"/>
      <c r="F12" s="405"/>
      <c r="G12" s="405"/>
      <c r="H12" s="405"/>
      <c r="I12" s="405"/>
    </row>
    <row r="13" spans="1:9" ht="26.25" customHeight="1" x14ac:dyDescent="0.25">
      <c r="A13" s="406" t="s">
        <v>191</v>
      </c>
      <c r="B13" s="407" t="s">
        <v>192</v>
      </c>
      <c r="C13" s="408"/>
      <c r="D13" s="409" t="s">
        <v>193</v>
      </c>
      <c r="E13" s="407" t="s">
        <v>194</v>
      </c>
      <c r="F13" s="408"/>
      <c r="G13" s="409" t="s">
        <v>195</v>
      </c>
      <c r="H13" s="407" t="s">
        <v>196</v>
      </c>
      <c r="I13" s="408"/>
    </row>
    <row r="14" spans="1:9" ht="15.75" x14ac:dyDescent="0.25">
      <c r="A14" s="410" t="s">
        <v>197</v>
      </c>
      <c r="B14" s="411" t="s">
        <v>198</v>
      </c>
      <c r="C14" s="412">
        <f>SUM(SO01_mlat!AB12:AB110)</f>
        <v>0</v>
      </c>
      <c r="D14" s="413"/>
      <c r="E14" s="414"/>
      <c r="F14" s="412"/>
      <c r="G14" s="413"/>
      <c r="H14" s="414"/>
      <c r="I14" s="415"/>
    </row>
    <row r="15" spans="1:9" ht="15.75" x14ac:dyDescent="0.25">
      <c r="A15" s="416" t="s">
        <v>180</v>
      </c>
      <c r="B15" s="411" t="s">
        <v>200</v>
      </c>
      <c r="C15" s="412">
        <f>SUM(SO01_mlat!AC12:AC110)</f>
        <v>0</v>
      </c>
      <c r="D15" s="413"/>
      <c r="E15" s="414"/>
      <c r="F15" s="412"/>
      <c r="G15" s="413"/>
      <c r="H15" s="414"/>
      <c r="I15" s="415"/>
    </row>
    <row r="16" spans="1:9" ht="15.75" x14ac:dyDescent="0.25">
      <c r="A16" s="410" t="s">
        <v>201</v>
      </c>
      <c r="B16" s="411" t="s">
        <v>198</v>
      </c>
      <c r="C16" s="412">
        <f>SUM(SO01_mlat!AD12:AD110)</f>
        <v>0</v>
      </c>
      <c r="D16" s="413"/>
      <c r="E16" s="414"/>
      <c r="F16" s="412"/>
      <c r="G16" s="413"/>
      <c r="H16" s="414"/>
      <c r="I16" s="415"/>
    </row>
    <row r="17" spans="1:9" ht="15.75" x14ac:dyDescent="0.25">
      <c r="A17" s="416" t="s">
        <v>180</v>
      </c>
      <c r="B17" s="411" t="s">
        <v>200</v>
      </c>
      <c r="C17" s="412">
        <f>SUM(SO01_mlat!AE12:AE110)</f>
        <v>0</v>
      </c>
      <c r="D17" s="413"/>
      <c r="E17" s="414"/>
      <c r="F17" s="415"/>
      <c r="G17" s="413"/>
      <c r="H17" s="414"/>
      <c r="I17" s="415"/>
    </row>
    <row r="18" spans="1:9" ht="15.75" x14ac:dyDescent="0.25">
      <c r="A18" s="410" t="s">
        <v>202</v>
      </c>
      <c r="B18" s="411" t="s">
        <v>198</v>
      </c>
      <c r="C18" s="412">
        <f>SUM(SO01_mlat!AF12:AF110)</f>
        <v>0</v>
      </c>
      <c r="D18" s="413"/>
      <c r="E18" s="414"/>
      <c r="F18" s="415"/>
      <c r="G18" s="413"/>
      <c r="H18" s="414"/>
      <c r="I18" s="415"/>
    </row>
    <row r="19" spans="1:9" ht="15.75" x14ac:dyDescent="0.25">
      <c r="A19" s="416" t="s">
        <v>180</v>
      </c>
      <c r="B19" s="411" t="s">
        <v>200</v>
      </c>
      <c r="C19" s="412">
        <f>SUM(SO01_mlat!AG12:AG110)</f>
        <v>0</v>
      </c>
      <c r="D19" s="413"/>
      <c r="E19" s="414"/>
      <c r="F19" s="415"/>
      <c r="G19" s="413"/>
      <c r="H19" s="414"/>
      <c r="I19" s="415"/>
    </row>
    <row r="20" spans="1:9" ht="15.75" x14ac:dyDescent="0.25">
      <c r="A20" s="417" t="s">
        <v>203</v>
      </c>
      <c r="B20" s="418"/>
      <c r="C20" s="412">
        <f>SUM(SO01_mlat!AH12:AH110)</f>
        <v>0</v>
      </c>
      <c r="D20" s="413"/>
      <c r="E20" s="414"/>
      <c r="F20" s="415"/>
      <c r="G20" s="413"/>
      <c r="H20" s="414"/>
      <c r="I20" s="415"/>
    </row>
    <row r="21" spans="1:9" ht="15.75" x14ac:dyDescent="0.25">
      <c r="A21" s="419" t="s">
        <v>204</v>
      </c>
      <c r="B21" s="420"/>
      <c r="C21" s="421">
        <f>SUM(SO01_mlat!Z12:Z110)</f>
        <v>0</v>
      </c>
      <c r="D21" s="422"/>
      <c r="E21" s="423"/>
      <c r="F21" s="424"/>
      <c r="G21" s="422"/>
      <c r="H21" s="423"/>
      <c r="I21" s="424"/>
    </row>
    <row r="22" spans="1:9" ht="16.5" customHeight="1" x14ac:dyDescent="0.25">
      <c r="A22" s="425" t="s">
        <v>205</v>
      </c>
      <c r="B22" s="426"/>
      <c r="C22" s="427">
        <f>SUM(C14:C21)</f>
        <v>0</v>
      </c>
      <c r="D22" s="428"/>
      <c r="E22" s="426"/>
      <c r="F22" s="427"/>
      <c r="G22" s="428"/>
      <c r="H22" s="426"/>
      <c r="I22" s="427"/>
    </row>
    <row r="23" spans="1:9" ht="16.5" thickBot="1" x14ac:dyDescent="0.3">
      <c r="D23" s="417"/>
      <c r="E23" s="418"/>
      <c r="F23" s="429"/>
      <c r="G23" s="430"/>
      <c r="H23" s="418"/>
      <c r="I23" s="412"/>
    </row>
    <row r="24" spans="1:9" ht="15.75" x14ac:dyDescent="0.25">
      <c r="G24" s="417"/>
      <c r="H24" s="418"/>
      <c r="I24" s="421"/>
    </row>
    <row r="25" spans="1:9" ht="15.75" x14ac:dyDescent="0.25">
      <c r="G25" s="417"/>
      <c r="H25" s="418"/>
      <c r="I25" s="427"/>
    </row>
    <row r="27" spans="1:9" ht="15.75" x14ac:dyDescent="0.25">
      <c r="A27" s="431" t="s">
        <v>206</v>
      </c>
      <c r="B27" s="432"/>
      <c r="C27" s="433">
        <f>SUM(SO01_mlat!AJ12:AJ110)</f>
        <v>0</v>
      </c>
    </row>
    <row r="28" spans="1:9" ht="15.75" x14ac:dyDescent="0.25">
      <c r="A28" s="434" t="s">
        <v>1190</v>
      </c>
      <c r="B28" s="435"/>
      <c r="C28" s="436">
        <f>SUM(SO01_mlat!AK12:AK110)</f>
        <v>0</v>
      </c>
      <c r="D28" s="432" t="s">
        <v>1189</v>
      </c>
      <c r="E28" s="432"/>
      <c r="F28" s="433">
        <f>ROUND(C28*(15/100),2)</f>
        <v>0</v>
      </c>
      <c r="G28" s="432" t="s">
        <v>207</v>
      </c>
      <c r="H28" s="432"/>
      <c r="I28" s="433">
        <f>SUM(C27:C29)</f>
        <v>0</v>
      </c>
    </row>
    <row r="29" spans="1:9" ht="15.75" x14ac:dyDescent="0.25">
      <c r="A29" s="434" t="s">
        <v>208</v>
      </c>
      <c r="B29" s="435"/>
      <c r="C29" s="436">
        <f>SUM(SO01_mlat!AL12:AL110)+(F22+I22+F23+I23+I24+I25)</f>
        <v>0</v>
      </c>
      <c r="D29" s="435" t="s">
        <v>15</v>
      </c>
      <c r="E29" s="435"/>
      <c r="F29" s="436">
        <f>ROUND(C29*(21/100),2)</f>
        <v>0</v>
      </c>
      <c r="G29" s="435" t="s">
        <v>209</v>
      </c>
      <c r="H29" s="435"/>
      <c r="I29" s="436">
        <f>SUM(F28:F29)+I28</f>
        <v>0</v>
      </c>
    </row>
    <row r="31" spans="1:9" x14ac:dyDescent="0.25">
      <c r="A31" s="437" t="s">
        <v>210</v>
      </c>
      <c r="B31" s="438"/>
      <c r="C31" s="439"/>
      <c r="D31" s="438" t="s">
        <v>211</v>
      </c>
      <c r="E31" s="438"/>
      <c r="F31" s="439"/>
      <c r="G31" s="438" t="s">
        <v>212</v>
      </c>
      <c r="H31" s="438"/>
      <c r="I31" s="439"/>
    </row>
    <row r="32" spans="1:9" x14ac:dyDescent="0.25">
      <c r="A32" s="440" t="s">
        <v>180</v>
      </c>
      <c r="B32" s="422"/>
      <c r="C32" s="441"/>
      <c r="D32" s="422" t="s">
        <v>180</v>
      </c>
      <c r="E32" s="422"/>
      <c r="F32" s="441"/>
      <c r="G32" s="422" t="s">
        <v>180</v>
      </c>
      <c r="H32" s="422"/>
      <c r="I32" s="441"/>
    </row>
    <row r="33" spans="1:9" x14ac:dyDescent="0.25">
      <c r="A33" s="440" t="s">
        <v>180</v>
      </c>
      <c r="B33" s="422"/>
      <c r="C33" s="441"/>
      <c r="D33" s="422" t="s">
        <v>180</v>
      </c>
      <c r="E33" s="422"/>
      <c r="F33" s="441"/>
      <c r="G33" s="422" t="s">
        <v>180</v>
      </c>
      <c r="H33" s="422"/>
      <c r="I33" s="441"/>
    </row>
    <row r="34" spans="1:9" x14ac:dyDescent="0.25">
      <c r="A34" s="440" t="s">
        <v>180</v>
      </c>
      <c r="B34" s="422"/>
      <c r="C34" s="441"/>
      <c r="D34" s="422" t="s">
        <v>180</v>
      </c>
      <c r="E34" s="422"/>
      <c r="F34" s="441"/>
      <c r="G34" s="422" t="s">
        <v>180</v>
      </c>
      <c r="H34" s="422"/>
      <c r="I34" s="441"/>
    </row>
    <row r="35" spans="1:9" ht="15.75" thickBot="1" x14ac:dyDescent="0.3">
      <c r="A35" s="442" t="s">
        <v>213</v>
      </c>
      <c r="B35" s="443"/>
      <c r="C35" s="444"/>
      <c r="D35" s="443" t="s">
        <v>213</v>
      </c>
      <c r="E35" s="443"/>
      <c r="F35" s="444"/>
      <c r="G35" s="443" t="s">
        <v>213</v>
      </c>
      <c r="H35" s="443"/>
      <c r="I35" s="444"/>
    </row>
    <row r="36" spans="1:9" x14ac:dyDescent="0.25">
      <c r="A36" s="445" t="s">
        <v>214</v>
      </c>
    </row>
    <row r="37" spans="1:9" ht="12.75" customHeight="1" x14ac:dyDescent="0.25">
      <c r="A37" s="399" t="s">
        <v>180</v>
      </c>
      <c r="B37" s="395"/>
      <c r="C37" s="395"/>
      <c r="D37" s="395"/>
      <c r="E37" s="395"/>
      <c r="F37" s="395"/>
      <c r="G37" s="395"/>
      <c r="H37" s="395"/>
      <c r="I37" s="395"/>
    </row>
  </sheetData>
  <sheetProtection algorithmName="SHA-512" hashValue="kQqTPd8x67TWZkPsY0cruuZg0w3hxFREv+IBqQ3sSz7cAQLpZwFfneWdy/slI6MQ+7rNmxAMKzvgiqDcHxw6xA==" saltValue="C6Mx1LaIGUsROcO66/Uuu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A1:I1"/>
    <mergeCell ref="A2:B3"/>
    <mergeCell ref="C2:D3"/>
    <mergeCell ref="E2:E3"/>
    <mergeCell ref="F2:G3"/>
    <mergeCell ref="H2:H3"/>
    <mergeCell ref="I2:I3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2179-31CF-4F06-AABC-9FD764578DDB}">
  <sheetPr>
    <pageSetUpPr fitToPage="1"/>
  </sheetPr>
  <dimension ref="A1:BZ113"/>
  <sheetViews>
    <sheetView workbookViewId="0">
      <pane ySplit="11" topLeftCell="A91" activePane="bottomLeft" state="frozen"/>
      <selection activeCell="M20" sqref="M20"/>
      <selection pane="bottomLeft" activeCell="D115" sqref="D115"/>
    </sheetView>
  </sheetViews>
  <sheetFormatPr defaultColWidth="12.140625" defaultRowHeight="15" customHeight="1" x14ac:dyDescent="0.25"/>
  <cols>
    <col min="1" max="1" width="4" style="387" customWidth="1"/>
    <col min="2" max="2" width="17.85546875" style="387" customWidth="1"/>
    <col min="3" max="3" width="42.85546875" style="387" customWidth="1"/>
    <col min="4" max="4" width="35.7109375" style="387" customWidth="1"/>
    <col min="5" max="5" width="6.42578125" style="387" customWidth="1"/>
    <col min="6" max="6" width="12.85546875" style="387" customWidth="1"/>
    <col min="7" max="7" width="12" style="387" customWidth="1"/>
    <col min="8" max="10" width="15.7109375" style="387" customWidth="1"/>
    <col min="11" max="11" width="13.42578125" style="387" customWidth="1"/>
    <col min="12" max="75" width="12.140625" style="387"/>
    <col min="76" max="76" width="78.5703125" style="387" hidden="1" customWidth="1"/>
    <col min="77" max="16384" width="12.140625" style="387"/>
  </cols>
  <sheetData>
    <row r="1" spans="1:76" ht="54.75" customHeight="1" x14ac:dyDescent="0.25">
      <c r="A1" s="386" t="s">
        <v>215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AS1" s="446">
        <f>SUM(AJ1:AJ2)</f>
        <v>0</v>
      </c>
      <c r="AT1" s="446">
        <f>SUM(AK1:AK2)</f>
        <v>0</v>
      </c>
      <c r="AU1" s="446">
        <f>SUM(AL1:AL2)</f>
        <v>0</v>
      </c>
    </row>
    <row r="2" spans="1:76" x14ac:dyDescent="0.25">
      <c r="A2" s="388" t="s">
        <v>1</v>
      </c>
      <c r="B2" s="389"/>
      <c r="C2" s="390" t="s">
        <v>216</v>
      </c>
      <c r="D2" s="391"/>
      <c r="E2" s="389" t="s">
        <v>217</v>
      </c>
      <c r="F2" s="389"/>
      <c r="G2" s="389" t="s">
        <v>218</v>
      </c>
      <c r="H2" s="392" t="s">
        <v>3</v>
      </c>
      <c r="I2" s="392" t="s">
        <v>7</v>
      </c>
      <c r="J2" s="389"/>
      <c r="K2" s="393"/>
    </row>
    <row r="3" spans="1:76" x14ac:dyDescent="0.25">
      <c r="A3" s="394"/>
      <c r="B3" s="395"/>
      <c r="C3" s="396"/>
      <c r="D3" s="396"/>
      <c r="E3" s="395"/>
      <c r="F3" s="395"/>
      <c r="G3" s="395"/>
      <c r="H3" s="395"/>
      <c r="I3" s="395"/>
      <c r="J3" s="395"/>
      <c r="K3" s="397"/>
    </row>
    <row r="4" spans="1:76" x14ac:dyDescent="0.25">
      <c r="A4" s="398" t="s">
        <v>181</v>
      </c>
      <c r="B4" s="395"/>
      <c r="C4" s="399" t="s">
        <v>397</v>
      </c>
      <c r="D4" s="395"/>
      <c r="E4" s="395" t="s">
        <v>185</v>
      </c>
      <c r="F4" s="395"/>
      <c r="G4" s="395" t="s">
        <v>218</v>
      </c>
      <c r="H4" s="399" t="s">
        <v>182</v>
      </c>
      <c r="I4" s="399" t="s">
        <v>219</v>
      </c>
      <c r="J4" s="395"/>
      <c r="K4" s="397"/>
    </row>
    <row r="5" spans="1:76" x14ac:dyDescent="0.25">
      <c r="A5" s="394"/>
      <c r="B5" s="395"/>
      <c r="C5" s="395"/>
      <c r="D5" s="395"/>
      <c r="E5" s="395"/>
      <c r="F5" s="395"/>
      <c r="G5" s="395"/>
      <c r="H5" s="395"/>
      <c r="I5" s="395"/>
      <c r="J5" s="395"/>
      <c r="K5" s="397"/>
    </row>
    <row r="6" spans="1:76" x14ac:dyDescent="0.25">
      <c r="A6" s="398" t="s">
        <v>2</v>
      </c>
      <c r="B6" s="395"/>
      <c r="C6" s="399" t="s">
        <v>220</v>
      </c>
      <c r="D6" s="395"/>
      <c r="E6" s="395" t="s">
        <v>186</v>
      </c>
      <c r="F6" s="395"/>
      <c r="G6" s="395" t="s">
        <v>218</v>
      </c>
      <c r="H6" s="399" t="s">
        <v>184</v>
      </c>
      <c r="I6" s="502" t="s">
        <v>221</v>
      </c>
      <c r="J6" s="502"/>
      <c r="K6" s="503"/>
    </row>
    <row r="7" spans="1:76" x14ac:dyDescent="0.25">
      <c r="A7" s="394"/>
      <c r="B7" s="395"/>
      <c r="C7" s="395"/>
      <c r="D7" s="395"/>
      <c r="E7" s="395"/>
      <c r="F7" s="395"/>
      <c r="G7" s="395"/>
      <c r="H7" s="395"/>
      <c r="I7" s="502"/>
      <c r="J7" s="502"/>
      <c r="K7" s="503"/>
    </row>
    <row r="8" spans="1:76" x14ac:dyDescent="0.25">
      <c r="A8" s="398" t="s">
        <v>188</v>
      </c>
      <c r="B8" s="395"/>
      <c r="C8" s="399" t="s">
        <v>218</v>
      </c>
      <c r="D8" s="395"/>
      <c r="E8" s="395" t="s">
        <v>222</v>
      </c>
      <c r="F8" s="395"/>
      <c r="G8" s="395" t="s">
        <v>223</v>
      </c>
      <c r="H8" s="399" t="s">
        <v>189</v>
      </c>
      <c r="I8" s="399" t="s">
        <v>224</v>
      </c>
      <c r="J8" s="395"/>
      <c r="K8" s="397"/>
    </row>
    <row r="9" spans="1:76" ht="15.75" thickBot="1" x14ac:dyDescent="0.3">
      <c r="A9" s="394"/>
      <c r="B9" s="395"/>
      <c r="C9" s="395"/>
      <c r="D9" s="395"/>
      <c r="E9" s="395"/>
      <c r="F9" s="395"/>
      <c r="G9" s="395"/>
      <c r="H9" s="395"/>
      <c r="I9" s="395"/>
      <c r="J9" s="395"/>
      <c r="K9" s="397"/>
    </row>
    <row r="10" spans="1:76" x14ac:dyDescent="0.25">
      <c r="A10" s="447" t="s">
        <v>225</v>
      </c>
      <c r="B10" s="448" t="s">
        <v>23</v>
      </c>
      <c r="C10" s="449" t="s">
        <v>226</v>
      </c>
      <c r="D10" s="450"/>
      <c r="E10" s="448" t="s">
        <v>25</v>
      </c>
      <c r="F10" s="451" t="s">
        <v>227</v>
      </c>
      <c r="G10" s="452" t="s">
        <v>228</v>
      </c>
      <c r="H10" s="453" t="s">
        <v>229</v>
      </c>
      <c r="I10" s="454"/>
      <c r="J10" s="455"/>
      <c r="K10" s="451" t="s">
        <v>230</v>
      </c>
      <c r="BK10" s="456" t="s">
        <v>231</v>
      </c>
      <c r="BL10" s="457" t="s">
        <v>232</v>
      </c>
      <c r="BW10" s="457" t="s">
        <v>233</v>
      </c>
    </row>
    <row r="11" spans="1:76" ht="15.75" thickBot="1" x14ac:dyDescent="0.3">
      <c r="A11" s="458" t="s">
        <v>218</v>
      </c>
      <c r="B11" s="459" t="s">
        <v>218</v>
      </c>
      <c r="C11" s="460" t="s">
        <v>234</v>
      </c>
      <c r="D11" s="461"/>
      <c r="E11" s="459" t="s">
        <v>218</v>
      </c>
      <c r="F11" s="459" t="s">
        <v>218</v>
      </c>
      <c r="G11" s="462" t="s">
        <v>235</v>
      </c>
      <c r="H11" s="463" t="s">
        <v>236</v>
      </c>
      <c r="I11" s="464" t="s">
        <v>200</v>
      </c>
      <c r="J11" s="465" t="s">
        <v>237</v>
      </c>
      <c r="K11" s="464" t="s">
        <v>238</v>
      </c>
      <c r="Z11" s="456" t="s">
        <v>239</v>
      </c>
      <c r="AA11" s="456" t="s">
        <v>240</v>
      </c>
      <c r="AB11" s="456" t="s">
        <v>241</v>
      </c>
      <c r="AC11" s="456" t="s">
        <v>242</v>
      </c>
      <c r="AD11" s="456" t="s">
        <v>243</v>
      </c>
      <c r="AE11" s="456" t="s">
        <v>244</v>
      </c>
      <c r="AF11" s="456" t="s">
        <v>245</v>
      </c>
      <c r="AG11" s="456" t="s">
        <v>246</v>
      </c>
      <c r="AH11" s="456" t="s">
        <v>247</v>
      </c>
      <c r="BH11" s="456" t="s">
        <v>248</v>
      </c>
      <c r="BI11" s="456" t="s">
        <v>249</v>
      </c>
      <c r="BJ11" s="456" t="s">
        <v>250</v>
      </c>
    </row>
    <row r="12" spans="1:76" x14ac:dyDescent="0.25">
      <c r="A12" s="466" t="s">
        <v>180</v>
      </c>
      <c r="B12" s="467" t="s">
        <v>180</v>
      </c>
      <c r="C12" s="468" t="s">
        <v>398</v>
      </c>
      <c r="D12" s="469"/>
      <c r="E12" s="470" t="s">
        <v>218</v>
      </c>
      <c r="F12" s="470" t="s">
        <v>218</v>
      </c>
      <c r="G12" s="470" t="s">
        <v>218</v>
      </c>
      <c r="H12" s="471">
        <f>H13+H15+H17</f>
        <v>0</v>
      </c>
      <c r="I12" s="471">
        <f>I13+I15+I17</f>
        <v>0</v>
      </c>
      <c r="J12" s="471">
        <f>J13+J15+J17</f>
        <v>0</v>
      </c>
      <c r="K12" s="472" t="s">
        <v>180</v>
      </c>
    </row>
    <row r="13" spans="1:76" x14ac:dyDescent="0.25">
      <c r="A13" s="473" t="s">
        <v>180</v>
      </c>
      <c r="B13" s="474" t="s">
        <v>251</v>
      </c>
      <c r="C13" s="475" t="s">
        <v>252</v>
      </c>
      <c r="D13" s="476"/>
      <c r="E13" s="477" t="s">
        <v>218</v>
      </c>
      <c r="F13" s="477" t="s">
        <v>218</v>
      </c>
      <c r="G13" s="477" t="s">
        <v>218</v>
      </c>
      <c r="H13" s="446">
        <f>SUM(H14:H14)</f>
        <v>0</v>
      </c>
      <c r="I13" s="446">
        <f>SUM(I14:I14)</f>
        <v>0</v>
      </c>
      <c r="J13" s="446">
        <f>SUM(J14:J14)</f>
        <v>0</v>
      </c>
      <c r="K13" s="478" t="s">
        <v>180</v>
      </c>
      <c r="AI13" s="456" t="s">
        <v>253</v>
      </c>
      <c r="AS13" s="446">
        <f>SUM(AJ14:AJ14)</f>
        <v>0</v>
      </c>
      <c r="AT13" s="446">
        <f>SUM(AK14:AK14)</f>
        <v>0</v>
      </c>
      <c r="AU13" s="446">
        <f>SUM(AL14:AL14)</f>
        <v>0</v>
      </c>
    </row>
    <row r="14" spans="1:76" x14ac:dyDescent="0.25">
      <c r="A14" s="479" t="s">
        <v>254</v>
      </c>
      <c r="B14" s="480" t="s">
        <v>399</v>
      </c>
      <c r="C14" s="399" t="s">
        <v>400</v>
      </c>
      <c r="D14" s="395"/>
      <c r="E14" s="480" t="s">
        <v>255</v>
      </c>
      <c r="F14" s="481">
        <v>821</v>
      </c>
      <c r="G14" s="504">
        <v>0</v>
      </c>
      <c r="H14" s="481">
        <f>F14*AO14</f>
        <v>0</v>
      </c>
      <c r="I14" s="481">
        <f>F14*AP14</f>
        <v>0</v>
      </c>
      <c r="J14" s="481">
        <f>F14*G14</f>
        <v>0</v>
      </c>
      <c r="K14" s="482" t="s">
        <v>256</v>
      </c>
      <c r="Z14" s="481">
        <f>IF(AQ14="5",BJ14,0)</f>
        <v>0</v>
      </c>
      <c r="AB14" s="481">
        <f>IF(AQ14="1",BH14,0)</f>
        <v>0</v>
      </c>
      <c r="AC14" s="481">
        <f>IF(AQ14="1",BI14,0)</f>
        <v>0</v>
      </c>
      <c r="AD14" s="481">
        <f>IF(AQ14="7",BH14,0)</f>
        <v>0</v>
      </c>
      <c r="AE14" s="481">
        <f>IF(AQ14="7",BI14,0)</f>
        <v>0</v>
      </c>
      <c r="AF14" s="481">
        <f>IF(AQ14="2",BH14,0)</f>
        <v>0</v>
      </c>
      <c r="AG14" s="481">
        <f>IF(AQ14="2",BI14,0)</f>
        <v>0</v>
      </c>
      <c r="AH14" s="481">
        <f>IF(AQ14="0",BJ14,0)</f>
        <v>0</v>
      </c>
      <c r="AI14" s="456" t="s">
        <v>253</v>
      </c>
      <c r="AJ14" s="481">
        <f>IF(AN14=0,J14,0)</f>
        <v>0</v>
      </c>
      <c r="AK14" s="481">
        <f>IF(AN14=15,J14,0)</f>
        <v>0</v>
      </c>
      <c r="AL14" s="481">
        <f>IF(AN14=21,J14,0)</f>
        <v>0</v>
      </c>
      <c r="AN14" s="481">
        <v>21</v>
      </c>
      <c r="AO14" s="481">
        <f>G14*0</f>
        <v>0</v>
      </c>
      <c r="AP14" s="481">
        <f>G14*(1-0)</f>
        <v>0</v>
      </c>
      <c r="AQ14" s="483" t="s">
        <v>254</v>
      </c>
      <c r="AV14" s="481">
        <f>AW14+AX14</f>
        <v>0</v>
      </c>
      <c r="AW14" s="481">
        <f>F14*AO14</f>
        <v>0</v>
      </c>
      <c r="AX14" s="481">
        <f>F14*AP14</f>
        <v>0</v>
      </c>
      <c r="AY14" s="483" t="s">
        <v>257</v>
      </c>
      <c r="AZ14" s="483" t="s">
        <v>258</v>
      </c>
      <c r="BA14" s="456" t="s">
        <v>259</v>
      </c>
      <c r="BC14" s="481">
        <f>AW14+AX14</f>
        <v>0</v>
      </c>
      <c r="BD14" s="481">
        <f>G14/(100-BE14)*100</f>
        <v>0</v>
      </c>
      <c r="BE14" s="481">
        <v>0</v>
      </c>
      <c r="BF14" s="481">
        <f>14</f>
        <v>14</v>
      </c>
      <c r="BH14" s="481">
        <f>F14*AO14</f>
        <v>0</v>
      </c>
      <c r="BI14" s="481">
        <f>F14*AP14</f>
        <v>0</v>
      </c>
      <c r="BJ14" s="481">
        <f>F14*G14</f>
        <v>0</v>
      </c>
      <c r="BK14" s="481"/>
      <c r="BL14" s="481">
        <v>11</v>
      </c>
      <c r="BW14" s="481">
        <v>21</v>
      </c>
      <c r="BX14" s="484" t="s">
        <v>400</v>
      </c>
    </row>
    <row r="15" spans="1:76" x14ac:dyDescent="0.25">
      <c r="A15" s="473" t="s">
        <v>180</v>
      </c>
      <c r="B15" s="474" t="s">
        <v>281</v>
      </c>
      <c r="C15" s="475" t="s">
        <v>282</v>
      </c>
      <c r="D15" s="476"/>
      <c r="E15" s="477" t="s">
        <v>218</v>
      </c>
      <c r="F15" s="477" t="s">
        <v>218</v>
      </c>
      <c r="G15" s="477" t="s">
        <v>218</v>
      </c>
      <c r="H15" s="446">
        <f>SUM(H16:H16)</f>
        <v>0</v>
      </c>
      <c r="I15" s="446">
        <f>SUM(I16:I16)</f>
        <v>0</v>
      </c>
      <c r="J15" s="446">
        <f>SUM(J16:J16)</f>
        <v>0</v>
      </c>
      <c r="K15" s="478" t="s">
        <v>180</v>
      </c>
      <c r="AI15" s="456" t="s">
        <v>253</v>
      </c>
      <c r="AS15" s="446">
        <f>SUM(AJ16:AJ16)</f>
        <v>0</v>
      </c>
      <c r="AT15" s="446">
        <f>SUM(AK16:AK16)</f>
        <v>0</v>
      </c>
      <c r="AU15" s="446">
        <f>SUM(AL16:AL16)</f>
        <v>0</v>
      </c>
    </row>
    <row r="16" spans="1:76" x14ac:dyDescent="0.25">
      <c r="A16" s="479" t="s">
        <v>260</v>
      </c>
      <c r="B16" s="480" t="s">
        <v>401</v>
      </c>
      <c r="C16" s="399" t="s">
        <v>402</v>
      </c>
      <c r="D16" s="395"/>
      <c r="E16" s="480" t="s">
        <v>43</v>
      </c>
      <c r="F16" s="481">
        <v>600</v>
      </c>
      <c r="G16" s="504">
        <v>0</v>
      </c>
      <c r="H16" s="481">
        <f>F16*AO16</f>
        <v>0</v>
      </c>
      <c r="I16" s="481">
        <f>F16*AP16</f>
        <v>0</v>
      </c>
      <c r="J16" s="481">
        <f>F16*G16</f>
        <v>0</v>
      </c>
      <c r="K16" s="482" t="s">
        <v>256</v>
      </c>
      <c r="Z16" s="481">
        <f>IF(AQ16="5",BJ16,0)</f>
        <v>0</v>
      </c>
      <c r="AB16" s="481">
        <f>IF(AQ16="1",BH16,0)</f>
        <v>0</v>
      </c>
      <c r="AC16" s="481">
        <f>IF(AQ16="1",BI16,0)</f>
        <v>0</v>
      </c>
      <c r="AD16" s="481">
        <f>IF(AQ16="7",BH16,0)</f>
        <v>0</v>
      </c>
      <c r="AE16" s="481">
        <f>IF(AQ16="7",BI16,0)</f>
        <v>0</v>
      </c>
      <c r="AF16" s="481">
        <f>IF(AQ16="2",BH16,0)</f>
        <v>0</v>
      </c>
      <c r="AG16" s="481">
        <f>IF(AQ16="2",BI16,0)</f>
        <v>0</v>
      </c>
      <c r="AH16" s="481">
        <f>IF(AQ16="0",BJ16,0)</f>
        <v>0</v>
      </c>
      <c r="AI16" s="456" t="s">
        <v>253</v>
      </c>
      <c r="AJ16" s="481">
        <f>IF(AN16=0,J16,0)</f>
        <v>0</v>
      </c>
      <c r="AK16" s="481">
        <f>IF(AN16=15,J16,0)</f>
        <v>0</v>
      </c>
      <c r="AL16" s="481">
        <f>IF(AN16=21,J16,0)</f>
        <v>0</v>
      </c>
      <c r="AN16" s="481">
        <v>21</v>
      </c>
      <c r="AO16" s="481">
        <f>G16*0</f>
        <v>0</v>
      </c>
      <c r="AP16" s="481">
        <f>G16*(1-0)</f>
        <v>0</v>
      </c>
      <c r="AQ16" s="483" t="s">
        <v>264</v>
      </c>
      <c r="AV16" s="481">
        <f>AW16+AX16</f>
        <v>0</v>
      </c>
      <c r="AW16" s="481">
        <f>F16*AO16</f>
        <v>0</v>
      </c>
      <c r="AX16" s="481">
        <f>F16*AP16</f>
        <v>0</v>
      </c>
      <c r="AY16" s="483" t="s">
        <v>286</v>
      </c>
      <c r="AZ16" s="483" t="s">
        <v>287</v>
      </c>
      <c r="BA16" s="456" t="s">
        <v>259</v>
      </c>
      <c r="BC16" s="481">
        <f>AW16+AX16</f>
        <v>0</v>
      </c>
      <c r="BD16" s="481">
        <f>G16/(100-BE16)*100</f>
        <v>0</v>
      </c>
      <c r="BE16" s="481">
        <v>0</v>
      </c>
      <c r="BF16" s="481">
        <f>16</f>
        <v>16</v>
      </c>
      <c r="BH16" s="481">
        <f>F16*AO16</f>
        <v>0</v>
      </c>
      <c r="BI16" s="481">
        <f>F16*AP16</f>
        <v>0</v>
      </c>
      <c r="BJ16" s="481">
        <f>F16*G16</f>
        <v>0</v>
      </c>
      <c r="BK16" s="481"/>
      <c r="BL16" s="481"/>
      <c r="BW16" s="481">
        <v>21</v>
      </c>
      <c r="BX16" s="484" t="s">
        <v>402</v>
      </c>
    </row>
    <row r="17" spans="1:76" x14ac:dyDescent="0.25">
      <c r="A17" s="473" t="s">
        <v>180</v>
      </c>
      <c r="B17" s="474" t="s">
        <v>288</v>
      </c>
      <c r="C17" s="475" t="s">
        <v>289</v>
      </c>
      <c r="D17" s="476"/>
      <c r="E17" s="477" t="s">
        <v>218</v>
      </c>
      <c r="F17" s="477" t="s">
        <v>218</v>
      </c>
      <c r="G17" s="477" t="s">
        <v>218</v>
      </c>
      <c r="H17" s="446">
        <f>SUM(H18:H19)</f>
        <v>0</v>
      </c>
      <c r="I17" s="446">
        <f>SUM(I18:I19)</f>
        <v>0</v>
      </c>
      <c r="J17" s="446">
        <f>SUM(J18:J19)</f>
        <v>0</v>
      </c>
      <c r="K17" s="478" t="s">
        <v>180</v>
      </c>
      <c r="AI17" s="456" t="s">
        <v>253</v>
      </c>
      <c r="AS17" s="446">
        <f>SUM(AJ18:AJ19)</f>
        <v>0</v>
      </c>
      <c r="AT17" s="446">
        <f>SUM(AK18:AK19)</f>
        <v>0</v>
      </c>
      <c r="AU17" s="446">
        <f>SUM(AL18:AL19)</f>
        <v>0</v>
      </c>
    </row>
    <row r="18" spans="1:76" ht="25.5" x14ac:dyDescent="0.25">
      <c r="A18" s="479" t="s">
        <v>262</v>
      </c>
      <c r="B18" s="480" t="s">
        <v>403</v>
      </c>
      <c r="C18" s="399" t="s">
        <v>404</v>
      </c>
      <c r="D18" s="395"/>
      <c r="E18" s="480" t="s">
        <v>43</v>
      </c>
      <c r="F18" s="481">
        <v>1806</v>
      </c>
      <c r="G18" s="504">
        <v>0</v>
      </c>
      <c r="H18" s="481">
        <f>F18*AO18</f>
        <v>0</v>
      </c>
      <c r="I18" s="481">
        <f>F18*AP18</f>
        <v>0</v>
      </c>
      <c r="J18" s="481">
        <f>F18*G18</f>
        <v>0</v>
      </c>
      <c r="K18" s="482" t="s">
        <v>256</v>
      </c>
      <c r="Z18" s="481">
        <f>IF(AQ18="5",BJ18,0)</f>
        <v>0</v>
      </c>
      <c r="AB18" s="481">
        <f>IF(AQ18="1",BH18,0)</f>
        <v>0</v>
      </c>
      <c r="AC18" s="481">
        <f>IF(AQ18="1",BI18,0)</f>
        <v>0</v>
      </c>
      <c r="AD18" s="481">
        <f>IF(AQ18="7",BH18,0)</f>
        <v>0</v>
      </c>
      <c r="AE18" s="481">
        <f>IF(AQ18="7",BI18,0)</f>
        <v>0</v>
      </c>
      <c r="AF18" s="481">
        <f>IF(AQ18="2",BH18,0)</f>
        <v>0</v>
      </c>
      <c r="AG18" s="481">
        <f>IF(AQ18="2",BI18,0)</f>
        <v>0</v>
      </c>
      <c r="AH18" s="481">
        <f>IF(AQ18="0",BJ18,0)</f>
        <v>0</v>
      </c>
      <c r="AI18" s="456" t="s">
        <v>253</v>
      </c>
      <c r="AJ18" s="481">
        <f>IF(AN18=0,J18,0)</f>
        <v>0</v>
      </c>
      <c r="AK18" s="481">
        <f>IF(AN18=15,J18,0)</f>
        <v>0</v>
      </c>
      <c r="AL18" s="481">
        <f>IF(AN18=21,J18,0)</f>
        <v>0</v>
      </c>
      <c r="AN18" s="481">
        <v>21</v>
      </c>
      <c r="AO18" s="481">
        <f>G18*0.010430556</f>
        <v>0</v>
      </c>
      <c r="AP18" s="481">
        <f>G18*(1-0.010430556)</f>
        <v>0</v>
      </c>
      <c r="AQ18" s="483" t="s">
        <v>264</v>
      </c>
      <c r="AV18" s="481">
        <f>AW18+AX18</f>
        <v>0</v>
      </c>
      <c r="AW18" s="481">
        <f>F18*AO18</f>
        <v>0</v>
      </c>
      <c r="AX18" s="481">
        <f>F18*AP18</f>
        <v>0</v>
      </c>
      <c r="AY18" s="483" t="s">
        <v>292</v>
      </c>
      <c r="AZ18" s="483" t="s">
        <v>287</v>
      </c>
      <c r="BA18" s="456" t="s">
        <v>259</v>
      </c>
      <c r="BC18" s="481">
        <f>AW18+AX18</f>
        <v>0</v>
      </c>
      <c r="BD18" s="481">
        <f>G18/(100-BE18)*100</f>
        <v>0</v>
      </c>
      <c r="BE18" s="481">
        <v>0</v>
      </c>
      <c r="BF18" s="481">
        <f>18</f>
        <v>18</v>
      </c>
      <c r="BH18" s="481">
        <f>F18*AO18</f>
        <v>0</v>
      </c>
      <c r="BI18" s="481">
        <f>F18*AP18</f>
        <v>0</v>
      </c>
      <c r="BJ18" s="481">
        <f>F18*G18</f>
        <v>0</v>
      </c>
      <c r="BK18" s="481"/>
      <c r="BL18" s="481"/>
      <c r="BW18" s="481">
        <v>21</v>
      </c>
      <c r="BX18" s="484" t="s">
        <v>404</v>
      </c>
    </row>
    <row r="19" spans="1:76" x14ac:dyDescent="0.25">
      <c r="A19" s="479" t="s">
        <v>263</v>
      </c>
      <c r="B19" s="480" t="s">
        <v>405</v>
      </c>
      <c r="C19" s="399" t="s">
        <v>406</v>
      </c>
      <c r="D19" s="395"/>
      <c r="E19" s="480" t="s">
        <v>43</v>
      </c>
      <c r="F19" s="481">
        <v>1806</v>
      </c>
      <c r="G19" s="504">
        <v>0</v>
      </c>
      <c r="H19" s="481">
        <f>F19*AO19</f>
        <v>0</v>
      </c>
      <c r="I19" s="481">
        <f>F19*AP19</f>
        <v>0</v>
      </c>
      <c r="J19" s="481">
        <f>F19*G19</f>
        <v>0</v>
      </c>
      <c r="K19" s="482" t="s">
        <v>256</v>
      </c>
      <c r="Z19" s="481">
        <f>IF(AQ19="5",BJ19,0)</f>
        <v>0</v>
      </c>
      <c r="AB19" s="481">
        <f>IF(AQ19="1",BH19,0)</f>
        <v>0</v>
      </c>
      <c r="AC19" s="481">
        <f>IF(AQ19="1",BI19,0)</f>
        <v>0</v>
      </c>
      <c r="AD19" s="481">
        <f>IF(AQ19="7",BH19,0)</f>
        <v>0</v>
      </c>
      <c r="AE19" s="481">
        <f>IF(AQ19="7",BI19,0)</f>
        <v>0</v>
      </c>
      <c r="AF19" s="481">
        <f>IF(AQ19="2",BH19,0)</f>
        <v>0</v>
      </c>
      <c r="AG19" s="481">
        <f>IF(AQ19="2",BI19,0)</f>
        <v>0</v>
      </c>
      <c r="AH19" s="481">
        <f>IF(AQ19="0",BJ19,0)</f>
        <v>0</v>
      </c>
      <c r="AI19" s="456" t="s">
        <v>253</v>
      </c>
      <c r="AJ19" s="481">
        <f>IF(AN19=0,J19,0)</f>
        <v>0</v>
      </c>
      <c r="AK19" s="481">
        <f>IF(AN19=15,J19,0)</f>
        <v>0</v>
      </c>
      <c r="AL19" s="481">
        <f>IF(AN19=21,J19,0)</f>
        <v>0</v>
      </c>
      <c r="AN19" s="481">
        <v>21</v>
      </c>
      <c r="AO19" s="481">
        <f>G19*0</f>
        <v>0</v>
      </c>
      <c r="AP19" s="481">
        <f>G19*(1-0)</f>
        <v>0</v>
      </c>
      <c r="AQ19" s="483" t="s">
        <v>264</v>
      </c>
      <c r="AV19" s="481">
        <f>AW19+AX19</f>
        <v>0</v>
      </c>
      <c r="AW19" s="481">
        <f>F19*AO19</f>
        <v>0</v>
      </c>
      <c r="AX19" s="481">
        <f>F19*AP19</f>
        <v>0</v>
      </c>
      <c r="AY19" s="483" t="s">
        <v>292</v>
      </c>
      <c r="AZ19" s="483" t="s">
        <v>287</v>
      </c>
      <c r="BA19" s="456" t="s">
        <v>259</v>
      </c>
      <c r="BC19" s="481">
        <f>AW19+AX19</f>
        <v>0</v>
      </c>
      <c r="BD19" s="481">
        <f>G19/(100-BE19)*100</f>
        <v>0</v>
      </c>
      <c r="BE19" s="481">
        <v>0</v>
      </c>
      <c r="BF19" s="481">
        <f>19</f>
        <v>19</v>
      </c>
      <c r="BH19" s="481">
        <f>F19*AO19</f>
        <v>0</v>
      </c>
      <c r="BI19" s="481">
        <f>F19*AP19</f>
        <v>0</v>
      </c>
      <c r="BJ19" s="481">
        <f>F19*G19</f>
        <v>0</v>
      </c>
      <c r="BK19" s="481"/>
      <c r="BL19" s="481"/>
      <c r="BW19" s="481">
        <v>21</v>
      </c>
      <c r="BX19" s="484" t="s">
        <v>406</v>
      </c>
    </row>
    <row r="20" spans="1:76" x14ac:dyDescent="0.25">
      <c r="A20" s="466" t="s">
        <v>180</v>
      </c>
      <c r="B20" s="467" t="s">
        <v>180</v>
      </c>
      <c r="C20" s="468" t="s">
        <v>407</v>
      </c>
      <c r="D20" s="469"/>
      <c r="E20" s="470" t="s">
        <v>218</v>
      </c>
      <c r="F20" s="470" t="s">
        <v>218</v>
      </c>
      <c r="G20" s="470" t="s">
        <v>218</v>
      </c>
      <c r="H20" s="471">
        <f>H21+H24+H26</f>
        <v>0</v>
      </c>
      <c r="I20" s="471">
        <f>I21+I24+I26</f>
        <v>0</v>
      </c>
      <c r="J20" s="471">
        <f>J21+J24+J26</f>
        <v>0</v>
      </c>
      <c r="K20" s="472" t="s">
        <v>180</v>
      </c>
    </row>
    <row r="21" spans="1:76" x14ac:dyDescent="0.25">
      <c r="A21" s="473" t="s">
        <v>180</v>
      </c>
      <c r="B21" s="474" t="s">
        <v>251</v>
      </c>
      <c r="C21" s="475" t="s">
        <v>252</v>
      </c>
      <c r="D21" s="476"/>
      <c r="E21" s="477" t="s">
        <v>218</v>
      </c>
      <c r="F21" s="477" t="s">
        <v>218</v>
      </c>
      <c r="G21" s="477" t="s">
        <v>218</v>
      </c>
      <c r="H21" s="446">
        <f>SUM(H22:H23)</f>
        <v>0</v>
      </c>
      <c r="I21" s="446">
        <f>SUM(I22:I23)</f>
        <v>0</v>
      </c>
      <c r="J21" s="446">
        <f>SUM(J22:J23)</f>
        <v>0</v>
      </c>
      <c r="K21" s="478" t="s">
        <v>180</v>
      </c>
      <c r="AI21" s="456" t="s">
        <v>297</v>
      </c>
      <c r="AS21" s="446">
        <f>SUM(AJ22:AJ23)</f>
        <v>0</v>
      </c>
      <c r="AT21" s="446">
        <f>SUM(AK22:AK23)</f>
        <v>0</v>
      </c>
      <c r="AU21" s="446">
        <f>SUM(AL22:AL23)</f>
        <v>0</v>
      </c>
    </row>
    <row r="22" spans="1:76" x14ac:dyDescent="0.25">
      <c r="A22" s="479" t="s">
        <v>264</v>
      </c>
      <c r="B22" s="480" t="s">
        <v>408</v>
      </c>
      <c r="C22" s="399" t="s">
        <v>409</v>
      </c>
      <c r="D22" s="395"/>
      <c r="E22" s="480" t="s">
        <v>255</v>
      </c>
      <c r="F22" s="481">
        <v>24</v>
      </c>
      <c r="G22" s="504">
        <v>0</v>
      </c>
      <c r="H22" s="481">
        <f>F22*AO22</f>
        <v>0</v>
      </c>
      <c r="I22" s="481">
        <f>F22*AP22</f>
        <v>0</v>
      </c>
      <c r="J22" s="481">
        <f>F22*G22</f>
        <v>0</v>
      </c>
      <c r="K22" s="482" t="s">
        <v>256</v>
      </c>
      <c r="Z22" s="481">
        <f>IF(AQ22="5",BJ22,0)</f>
        <v>0</v>
      </c>
      <c r="AB22" s="481">
        <f>IF(AQ22="1",BH22,0)</f>
        <v>0</v>
      </c>
      <c r="AC22" s="481">
        <f>IF(AQ22="1",BI22,0)</f>
        <v>0</v>
      </c>
      <c r="AD22" s="481">
        <f>IF(AQ22="7",BH22,0)</f>
        <v>0</v>
      </c>
      <c r="AE22" s="481">
        <f>IF(AQ22="7",BI22,0)</f>
        <v>0</v>
      </c>
      <c r="AF22" s="481">
        <f>IF(AQ22="2",BH22,0)</f>
        <v>0</v>
      </c>
      <c r="AG22" s="481">
        <f>IF(AQ22="2",BI22,0)</f>
        <v>0</v>
      </c>
      <c r="AH22" s="481">
        <f>IF(AQ22="0",BJ22,0)</f>
        <v>0</v>
      </c>
      <c r="AI22" s="456" t="s">
        <v>297</v>
      </c>
      <c r="AJ22" s="481">
        <f>IF(AN22=0,J22,0)</f>
        <v>0</v>
      </c>
      <c r="AK22" s="481">
        <f>IF(AN22=15,J22,0)</f>
        <v>0</v>
      </c>
      <c r="AL22" s="481">
        <f>IF(AN22=21,J22,0)</f>
        <v>0</v>
      </c>
      <c r="AN22" s="481">
        <v>21</v>
      </c>
      <c r="AO22" s="481">
        <f>G22*0</f>
        <v>0</v>
      </c>
      <c r="AP22" s="481">
        <f>G22*(1-0)</f>
        <v>0</v>
      </c>
      <c r="AQ22" s="483" t="s">
        <v>254</v>
      </c>
      <c r="AV22" s="481">
        <f>AW22+AX22</f>
        <v>0</v>
      </c>
      <c r="AW22" s="481">
        <f>F22*AO22</f>
        <v>0</v>
      </c>
      <c r="AX22" s="481">
        <f>F22*AP22</f>
        <v>0</v>
      </c>
      <c r="AY22" s="483" t="s">
        <v>257</v>
      </c>
      <c r="AZ22" s="483" t="s">
        <v>299</v>
      </c>
      <c r="BA22" s="456" t="s">
        <v>300</v>
      </c>
      <c r="BC22" s="481">
        <f>AW22+AX22</f>
        <v>0</v>
      </c>
      <c r="BD22" s="481">
        <f>G22/(100-BE22)*100</f>
        <v>0</v>
      </c>
      <c r="BE22" s="481">
        <v>0</v>
      </c>
      <c r="BF22" s="481">
        <f>22</f>
        <v>22</v>
      </c>
      <c r="BH22" s="481">
        <f>F22*AO22</f>
        <v>0</v>
      </c>
      <c r="BI22" s="481">
        <f>F22*AP22</f>
        <v>0</v>
      </c>
      <c r="BJ22" s="481">
        <f>F22*G22</f>
        <v>0</v>
      </c>
      <c r="BK22" s="481"/>
      <c r="BL22" s="481">
        <v>11</v>
      </c>
      <c r="BW22" s="481">
        <v>21</v>
      </c>
      <c r="BX22" s="484" t="s">
        <v>409</v>
      </c>
    </row>
    <row r="23" spans="1:76" x14ac:dyDescent="0.25">
      <c r="A23" s="479" t="s">
        <v>265</v>
      </c>
      <c r="B23" s="480" t="s">
        <v>410</v>
      </c>
      <c r="C23" s="399" t="s">
        <v>411</v>
      </c>
      <c r="D23" s="395"/>
      <c r="E23" s="480" t="s">
        <v>255</v>
      </c>
      <c r="F23" s="481">
        <v>24</v>
      </c>
      <c r="G23" s="504">
        <v>0</v>
      </c>
      <c r="H23" s="481">
        <f>F23*AO23</f>
        <v>0</v>
      </c>
      <c r="I23" s="481">
        <f>F23*AP23</f>
        <v>0</v>
      </c>
      <c r="J23" s="481">
        <f>F23*G23</f>
        <v>0</v>
      </c>
      <c r="K23" s="482" t="s">
        <v>256</v>
      </c>
      <c r="Z23" s="481">
        <f>IF(AQ23="5",BJ23,0)</f>
        <v>0</v>
      </c>
      <c r="AB23" s="481">
        <f>IF(AQ23="1",BH23,0)</f>
        <v>0</v>
      </c>
      <c r="AC23" s="481">
        <f>IF(AQ23="1",BI23,0)</f>
        <v>0</v>
      </c>
      <c r="AD23" s="481">
        <f>IF(AQ23="7",BH23,0)</f>
        <v>0</v>
      </c>
      <c r="AE23" s="481">
        <f>IF(AQ23="7",BI23,0)</f>
        <v>0</v>
      </c>
      <c r="AF23" s="481">
        <f>IF(AQ23="2",BH23,0)</f>
        <v>0</v>
      </c>
      <c r="AG23" s="481">
        <f>IF(AQ23="2",BI23,0)</f>
        <v>0</v>
      </c>
      <c r="AH23" s="481">
        <f>IF(AQ23="0",BJ23,0)</f>
        <v>0</v>
      </c>
      <c r="AI23" s="456" t="s">
        <v>297</v>
      </c>
      <c r="AJ23" s="481">
        <f>IF(AN23=0,J23,0)</f>
        <v>0</v>
      </c>
      <c r="AK23" s="481">
        <f>IF(AN23=15,J23,0)</f>
        <v>0</v>
      </c>
      <c r="AL23" s="481">
        <f>IF(AN23=21,J23,0)</f>
        <v>0</v>
      </c>
      <c r="AN23" s="481">
        <v>21</v>
      </c>
      <c r="AO23" s="481">
        <f>G23*0</f>
        <v>0</v>
      </c>
      <c r="AP23" s="481">
        <f>G23*(1-0)</f>
        <v>0</v>
      </c>
      <c r="AQ23" s="483" t="s">
        <v>254</v>
      </c>
      <c r="AV23" s="481">
        <f>AW23+AX23</f>
        <v>0</v>
      </c>
      <c r="AW23" s="481">
        <f>F23*AO23</f>
        <v>0</v>
      </c>
      <c r="AX23" s="481">
        <f>F23*AP23</f>
        <v>0</v>
      </c>
      <c r="AY23" s="483" t="s">
        <v>257</v>
      </c>
      <c r="AZ23" s="483" t="s">
        <v>299</v>
      </c>
      <c r="BA23" s="456" t="s">
        <v>300</v>
      </c>
      <c r="BC23" s="481">
        <f>AW23+AX23</f>
        <v>0</v>
      </c>
      <c r="BD23" s="481">
        <f>G23/(100-BE23)*100</f>
        <v>0</v>
      </c>
      <c r="BE23" s="481">
        <v>0</v>
      </c>
      <c r="BF23" s="481">
        <f>23</f>
        <v>23</v>
      </c>
      <c r="BH23" s="481">
        <f>F23*AO23</f>
        <v>0</v>
      </c>
      <c r="BI23" s="481">
        <f>F23*AP23</f>
        <v>0</v>
      </c>
      <c r="BJ23" s="481">
        <f>F23*G23</f>
        <v>0</v>
      </c>
      <c r="BK23" s="481"/>
      <c r="BL23" s="481">
        <v>11</v>
      </c>
      <c r="BW23" s="481">
        <v>21</v>
      </c>
      <c r="BX23" s="484" t="s">
        <v>411</v>
      </c>
    </row>
    <row r="24" spans="1:76" x14ac:dyDescent="0.25">
      <c r="A24" s="473" t="s">
        <v>180</v>
      </c>
      <c r="B24" s="474" t="s">
        <v>281</v>
      </c>
      <c r="C24" s="475" t="s">
        <v>282</v>
      </c>
      <c r="D24" s="476"/>
      <c r="E24" s="477" t="s">
        <v>218</v>
      </c>
      <c r="F24" s="477" t="s">
        <v>218</v>
      </c>
      <c r="G24" s="477" t="s">
        <v>218</v>
      </c>
      <c r="H24" s="446">
        <f>SUM(H25:H25)</f>
        <v>0</v>
      </c>
      <c r="I24" s="446">
        <f>SUM(I25:I25)</f>
        <v>0</v>
      </c>
      <c r="J24" s="446">
        <f>SUM(J25:J25)</f>
        <v>0</v>
      </c>
      <c r="K24" s="478" t="s">
        <v>180</v>
      </c>
      <c r="AI24" s="456" t="s">
        <v>297</v>
      </c>
      <c r="AS24" s="446">
        <f>SUM(AJ25:AJ25)</f>
        <v>0</v>
      </c>
      <c r="AT24" s="446">
        <f>SUM(AK25:AK25)</f>
        <v>0</v>
      </c>
      <c r="AU24" s="446">
        <f>SUM(AL25:AL25)</f>
        <v>0</v>
      </c>
    </row>
    <row r="25" spans="1:76" x14ac:dyDescent="0.25">
      <c r="A25" s="479" t="s">
        <v>266</v>
      </c>
      <c r="B25" s="480" t="s">
        <v>401</v>
      </c>
      <c r="C25" s="399" t="s">
        <v>402</v>
      </c>
      <c r="D25" s="395"/>
      <c r="E25" s="480" t="s">
        <v>43</v>
      </c>
      <c r="F25" s="481">
        <v>20</v>
      </c>
      <c r="G25" s="504">
        <v>0</v>
      </c>
      <c r="H25" s="481">
        <f>F25*AO25</f>
        <v>0</v>
      </c>
      <c r="I25" s="481">
        <f>F25*AP25</f>
        <v>0</v>
      </c>
      <c r="J25" s="481">
        <f>F25*G25</f>
        <v>0</v>
      </c>
      <c r="K25" s="482" t="s">
        <v>256</v>
      </c>
      <c r="Z25" s="481">
        <f>IF(AQ25="5",BJ25,0)</f>
        <v>0</v>
      </c>
      <c r="AB25" s="481">
        <f>IF(AQ25="1",BH25,0)</f>
        <v>0</v>
      </c>
      <c r="AC25" s="481">
        <f>IF(AQ25="1",BI25,0)</f>
        <v>0</v>
      </c>
      <c r="AD25" s="481">
        <f>IF(AQ25="7",BH25,0)</f>
        <v>0</v>
      </c>
      <c r="AE25" s="481">
        <f>IF(AQ25="7",BI25,0)</f>
        <v>0</v>
      </c>
      <c r="AF25" s="481">
        <f>IF(AQ25="2",BH25,0)</f>
        <v>0</v>
      </c>
      <c r="AG25" s="481">
        <f>IF(AQ25="2",BI25,0)</f>
        <v>0</v>
      </c>
      <c r="AH25" s="481">
        <f>IF(AQ25="0",BJ25,0)</f>
        <v>0</v>
      </c>
      <c r="AI25" s="456" t="s">
        <v>297</v>
      </c>
      <c r="AJ25" s="481">
        <f>IF(AN25=0,J25,0)</f>
        <v>0</v>
      </c>
      <c r="AK25" s="481">
        <f>IF(AN25=15,J25,0)</f>
        <v>0</v>
      </c>
      <c r="AL25" s="481">
        <f>IF(AN25=21,J25,0)</f>
        <v>0</v>
      </c>
      <c r="AN25" s="481">
        <v>21</v>
      </c>
      <c r="AO25" s="481">
        <f>G25*0</f>
        <v>0</v>
      </c>
      <c r="AP25" s="481">
        <f>G25*(1-0)</f>
        <v>0</v>
      </c>
      <c r="AQ25" s="483" t="s">
        <v>264</v>
      </c>
      <c r="AV25" s="481">
        <f>AW25+AX25</f>
        <v>0</v>
      </c>
      <c r="AW25" s="481">
        <f>F25*AO25</f>
        <v>0</v>
      </c>
      <c r="AX25" s="481">
        <f>F25*AP25</f>
        <v>0</v>
      </c>
      <c r="AY25" s="483" t="s">
        <v>286</v>
      </c>
      <c r="AZ25" s="483" t="s">
        <v>316</v>
      </c>
      <c r="BA25" s="456" t="s">
        <v>300</v>
      </c>
      <c r="BC25" s="481">
        <f>AW25+AX25</f>
        <v>0</v>
      </c>
      <c r="BD25" s="481">
        <f>G25/(100-BE25)*100</f>
        <v>0</v>
      </c>
      <c r="BE25" s="481">
        <v>0</v>
      </c>
      <c r="BF25" s="481">
        <f>25</f>
        <v>25</v>
      </c>
      <c r="BH25" s="481">
        <f>F25*AO25</f>
        <v>0</v>
      </c>
      <c r="BI25" s="481">
        <f>F25*AP25</f>
        <v>0</v>
      </c>
      <c r="BJ25" s="481">
        <f>F25*G25</f>
        <v>0</v>
      </c>
      <c r="BK25" s="481"/>
      <c r="BL25" s="481"/>
      <c r="BW25" s="481">
        <v>21</v>
      </c>
      <c r="BX25" s="484" t="s">
        <v>402</v>
      </c>
    </row>
    <row r="26" spans="1:76" x14ac:dyDescent="0.25">
      <c r="A26" s="473" t="s">
        <v>180</v>
      </c>
      <c r="B26" s="474" t="s">
        <v>288</v>
      </c>
      <c r="C26" s="475" t="s">
        <v>289</v>
      </c>
      <c r="D26" s="476"/>
      <c r="E26" s="477" t="s">
        <v>218</v>
      </c>
      <c r="F26" s="477" t="s">
        <v>218</v>
      </c>
      <c r="G26" s="477" t="s">
        <v>218</v>
      </c>
      <c r="H26" s="446">
        <f>SUM(H27:H29)</f>
        <v>0</v>
      </c>
      <c r="I26" s="446">
        <f>SUM(I27:I29)</f>
        <v>0</v>
      </c>
      <c r="J26" s="446">
        <f>SUM(J27:J29)</f>
        <v>0</v>
      </c>
      <c r="K26" s="478" t="s">
        <v>180</v>
      </c>
      <c r="AI26" s="456" t="s">
        <v>297</v>
      </c>
      <c r="AS26" s="446">
        <f>SUM(AJ27:AJ29)</f>
        <v>0</v>
      </c>
      <c r="AT26" s="446">
        <f>SUM(AK27:AK29)</f>
        <v>0</v>
      </c>
      <c r="AU26" s="446">
        <f>SUM(AL27:AL29)</f>
        <v>0</v>
      </c>
    </row>
    <row r="27" spans="1:76" ht="25.5" x14ac:dyDescent="0.25">
      <c r="A27" s="479" t="s">
        <v>267</v>
      </c>
      <c r="B27" s="480" t="s">
        <v>403</v>
      </c>
      <c r="C27" s="399" t="s">
        <v>412</v>
      </c>
      <c r="D27" s="395"/>
      <c r="E27" s="480" t="s">
        <v>43</v>
      </c>
      <c r="F27" s="481">
        <v>13.5</v>
      </c>
      <c r="G27" s="504">
        <v>0</v>
      </c>
      <c r="H27" s="481">
        <f>F27*AO27</f>
        <v>0</v>
      </c>
      <c r="I27" s="481">
        <f>F27*AP27</f>
        <v>0</v>
      </c>
      <c r="J27" s="481">
        <f>F27*G27</f>
        <v>0</v>
      </c>
      <c r="K27" s="482" t="s">
        <v>256</v>
      </c>
      <c r="Z27" s="481">
        <f>IF(AQ27="5",BJ27,0)</f>
        <v>0</v>
      </c>
      <c r="AB27" s="481">
        <f>IF(AQ27="1",BH27,0)</f>
        <v>0</v>
      </c>
      <c r="AC27" s="481">
        <f>IF(AQ27="1",BI27,0)</f>
        <v>0</v>
      </c>
      <c r="AD27" s="481">
        <f>IF(AQ27="7",BH27,0)</f>
        <v>0</v>
      </c>
      <c r="AE27" s="481">
        <f>IF(AQ27="7",BI27,0)</f>
        <v>0</v>
      </c>
      <c r="AF27" s="481">
        <f>IF(AQ27="2",BH27,0)</f>
        <v>0</v>
      </c>
      <c r="AG27" s="481">
        <f>IF(AQ27="2",BI27,0)</f>
        <v>0</v>
      </c>
      <c r="AH27" s="481">
        <f>IF(AQ27="0",BJ27,0)</f>
        <v>0</v>
      </c>
      <c r="AI27" s="456" t="s">
        <v>297</v>
      </c>
      <c r="AJ27" s="481">
        <f>IF(AN27=0,J27,0)</f>
        <v>0</v>
      </c>
      <c r="AK27" s="481">
        <f>IF(AN27=15,J27,0)</f>
        <v>0</v>
      </c>
      <c r="AL27" s="481">
        <f>IF(AN27=21,J27,0)</f>
        <v>0</v>
      </c>
      <c r="AN27" s="481">
        <v>21</v>
      </c>
      <c r="AO27" s="481">
        <f>G27*0.010430556</f>
        <v>0</v>
      </c>
      <c r="AP27" s="481">
        <f>G27*(1-0.010430556)</f>
        <v>0</v>
      </c>
      <c r="AQ27" s="483" t="s">
        <v>264</v>
      </c>
      <c r="AV27" s="481">
        <f>AW27+AX27</f>
        <v>0</v>
      </c>
      <c r="AW27" s="481">
        <f>F27*AO27</f>
        <v>0</v>
      </c>
      <c r="AX27" s="481">
        <f>F27*AP27</f>
        <v>0</v>
      </c>
      <c r="AY27" s="483" t="s">
        <v>292</v>
      </c>
      <c r="AZ27" s="483" t="s">
        <v>316</v>
      </c>
      <c r="BA27" s="456" t="s">
        <v>300</v>
      </c>
      <c r="BC27" s="481">
        <f>AW27+AX27</f>
        <v>0</v>
      </c>
      <c r="BD27" s="481">
        <f>G27/(100-BE27)*100</f>
        <v>0</v>
      </c>
      <c r="BE27" s="481">
        <v>0</v>
      </c>
      <c r="BF27" s="481">
        <f>27</f>
        <v>27</v>
      </c>
      <c r="BH27" s="481">
        <f>F27*AO27</f>
        <v>0</v>
      </c>
      <c r="BI27" s="481">
        <f>F27*AP27</f>
        <v>0</v>
      </c>
      <c r="BJ27" s="481">
        <f>F27*G27</f>
        <v>0</v>
      </c>
      <c r="BK27" s="481"/>
      <c r="BL27" s="481"/>
      <c r="BW27" s="481">
        <v>21</v>
      </c>
      <c r="BX27" s="484" t="s">
        <v>412</v>
      </c>
    </row>
    <row r="28" spans="1:76" ht="27" customHeight="1" x14ac:dyDescent="0.25">
      <c r="A28" s="485"/>
      <c r="B28" s="486" t="s">
        <v>214</v>
      </c>
      <c r="C28" s="487" t="s">
        <v>1320</v>
      </c>
      <c r="D28" s="488"/>
      <c r="E28" s="488"/>
      <c r="F28" s="488"/>
      <c r="G28" s="488"/>
      <c r="H28" s="488"/>
      <c r="I28" s="488"/>
      <c r="J28" s="488"/>
      <c r="K28" s="489"/>
    </row>
    <row r="29" spans="1:76" x14ac:dyDescent="0.25">
      <c r="A29" s="479" t="s">
        <v>268</v>
      </c>
      <c r="B29" s="480" t="s">
        <v>405</v>
      </c>
      <c r="C29" s="399" t="s">
        <v>406</v>
      </c>
      <c r="D29" s="395"/>
      <c r="E29" s="480" t="s">
        <v>43</v>
      </c>
      <c r="F29" s="481">
        <v>13.5</v>
      </c>
      <c r="G29" s="504">
        <v>0</v>
      </c>
      <c r="H29" s="481">
        <f>F29*AO29</f>
        <v>0</v>
      </c>
      <c r="I29" s="481">
        <f>F29*AP29</f>
        <v>0</v>
      </c>
      <c r="J29" s="481">
        <f>F29*G29</f>
        <v>0</v>
      </c>
      <c r="K29" s="482" t="s">
        <v>256</v>
      </c>
      <c r="Z29" s="481">
        <f>IF(AQ29="5",BJ29,0)</f>
        <v>0</v>
      </c>
      <c r="AB29" s="481">
        <f>IF(AQ29="1",BH29,0)</f>
        <v>0</v>
      </c>
      <c r="AC29" s="481">
        <f>IF(AQ29="1",BI29,0)</f>
        <v>0</v>
      </c>
      <c r="AD29" s="481">
        <f>IF(AQ29="7",BH29,0)</f>
        <v>0</v>
      </c>
      <c r="AE29" s="481">
        <f>IF(AQ29="7",BI29,0)</f>
        <v>0</v>
      </c>
      <c r="AF29" s="481">
        <f>IF(AQ29="2",BH29,0)</f>
        <v>0</v>
      </c>
      <c r="AG29" s="481">
        <f>IF(AQ29="2",BI29,0)</f>
        <v>0</v>
      </c>
      <c r="AH29" s="481">
        <f>IF(AQ29="0",BJ29,0)</f>
        <v>0</v>
      </c>
      <c r="AI29" s="456" t="s">
        <v>297</v>
      </c>
      <c r="AJ29" s="481">
        <f>IF(AN29=0,J29,0)</f>
        <v>0</v>
      </c>
      <c r="AK29" s="481">
        <f>IF(AN29=15,J29,0)</f>
        <v>0</v>
      </c>
      <c r="AL29" s="481">
        <f>IF(AN29=21,J29,0)</f>
        <v>0</v>
      </c>
      <c r="AN29" s="481">
        <v>21</v>
      </c>
      <c r="AO29" s="481">
        <f>G29*0</f>
        <v>0</v>
      </c>
      <c r="AP29" s="481">
        <f>G29*(1-0)</f>
        <v>0</v>
      </c>
      <c r="AQ29" s="483" t="s">
        <v>264</v>
      </c>
      <c r="AV29" s="481">
        <f>AW29+AX29</f>
        <v>0</v>
      </c>
      <c r="AW29" s="481">
        <f>F29*AO29</f>
        <v>0</v>
      </c>
      <c r="AX29" s="481">
        <f>F29*AP29</f>
        <v>0</v>
      </c>
      <c r="AY29" s="483" t="s">
        <v>292</v>
      </c>
      <c r="AZ29" s="483" t="s">
        <v>316</v>
      </c>
      <c r="BA29" s="456" t="s">
        <v>300</v>
      </c>
      <c r="BC29" s="481">
        <f>AW29+AX29</f>
        <v>0</v>
      </c>
      <c r="BD29" s="481">
        <f>G29/(100-BE29)*100</f>
        <v>0</v>
      </c>
      <c r="BE29" s="481">
        <v>0</v>
      </c>
      <c r="BF29" s="481">
        <f>29</f>
        <v>29</v>
      </c>
      <c r="BH29" s="481">
        <f>F29*AO29</f>
        <v>0</v>
      </c>
      <c r="BI29" s="481">
        <f>F29*AP29</f>
        <v>0</v>
      </c>
      <c r="BJ29" s="481">
        <f>F29*G29</f>
        <v>0</v>
      </c>
      <c r="BK29" s="481"/>
      <c r="BL29" s="481"/>
      <c r="BW29" s="481">
        <v>21</v>
      </c>
      <c r="BX29" s="484" t="s">
        <v>406</v>
      </c>
    </row>
    <row r="30" spans="1:76" x14ac:dyDescent="0.25">
      <c r="A30" s="466" t="s">
        <v>180</v>
      </c>
      <c r="B30" s="467" t="s">
        <v>180</v>
      </c>
      <c r="C30" s="468" t="s">
        <v>413</v>
      </c>
      <c r="D30" s="469"/>
      <c r="E30" s="470" t="s">
        <v>218</v>
      </c>
      <c r="F30" s="470" t="s">
        <v>218</v>
      </c>
      <c r="G30" s="470" t="s">
        <v>218</v>
      </c>
      <c r="H30" s="471">
        <f>H31+H34+H40+H44+H49+H52+H54</f>
        <v>0</v>
      </c>
      <c r="I30" s="471">
        <f>I31+I34+I40+I44+I49+I52+I54</f>
        <v>0</v>
      </c>
      <c r="J30" s="471">
        <f>J31+J34+J40+J44+J49+J52+J54</f>
        <v>0</v>
      </c>
      <c r="K30" s="472" t="s">
        <v>180</v>
      </c>
    </row>
    <row r="31" spans="1:76" x14ac:dyDescent="0.25">
      <c r="A31" s="473" t="s">
        <v>180</v>
      </c>
      <c r="B31" s="474" t="s">
        <v>251</v>
      </c>
      <c r="C31" s="475" t="s">
        <v>252</v>
      </c>
      <c r="D31" s="476"/>
      <c r="E31" s="477" t="s">
        <v>218</v>
      </c>
      <c r="F31" s="477" t="s">
        <v>218</v>
      </c>
      <c r="G31" s="477" t="s">
        <v>218</v>
      </c>
      <c r="H31" s="446">
        <f>SUM(H32:H33)</f>
        <v>0</v>
      </c>
      <c r="I31" s="446">
        <f>SUM(I32:I33)</f>
        <v>0</v>
      </c>
      <c r="J31" s="446">
        <f>SUM(J32:J33)</f>
        <v>0</v>
      </c>
      <c r="K31" s="478" t="s">
        <v>180</v>
      </c>
      <c r="AI31" s="456" t="s">
        <v>334</v>
      </c>
      <c r="AS31" s="446">
        <f>SUM(AJ32:AJ33)</f>
        <v>0</v>
      </c>
      <c r="AT31" s="446">
        <f>SUM(AK32:AK33)</f>
        <v>0</v>
      </c>
      <c r="AU31" s="446">
        <f>SUM(AL32:AL33)</f>
        <v>0</v>
      </c>
    </row>
    <row r="32" spans="1:76" x14ac:dyDescent="0.25">
      <c r="A32" s="479" t="s">
        <v>271</v>
      </c>
      <c r="B32" s="480" t="s">
        <v>414</v>
      </c>
      <c r="C32" s="399" t="s">
        <v>415</v>
      </c>
      <c r="D32" s="395"/>
      <c r="E32" s="480" t="s">
        <v>278</v>
      </c>
      <c r="F32" s="481">
        <v>1</v>
      </c>
      <c r="G32" s="504">
        <v>0</v>
      </c>
      <c r="H32" s="481">
        <f>F32*AO32</f>
        <v>0</v>
      </c>
      <c r="I32" s="481">
        <f>F32*AP32</f>
        <v>0</v>
      </c>
      <c r="J32" s="481">
        <f>F32*G32</f>
        <v>0</v>
      </c>
      <c r="K32" s="482" t="s">
        <v>180</v>
      </c>
      <c r="Z32" s="481">
        <f>IF(AQ32="5",BJ32,0)</f>
        <v>0</v>
      </c>
      <c r="AB32" s="481">
        <f>IF(AQ32="1",BH32,0)</f>
        <v>0</v>
      </c>
      <c r="AC32" s="481">
        <f>IF(AQ32="1",BI32,0)</f>
        <v>0</v>
      </c>
      <c r="AD32" s="481">
        <f>IF(AQ32="7",BH32,0)</f>
        <v>0</v>
      </c>
      <c r="AE32" s="481">
        <f>IF(AQ32="7",BI32,0)</f>
        <v>0</v>
      </c>
      <c r="AF32" s="481">
        <f>IF(AQ32="2",BH32,0)</f>
        <v>0</v>
      </c>
      <c r="AG32" s="481">
        <f>IF(AQ32="2",BI32,0)</f>
        <v>0</v>
      </c>
      <c r="AH32" s="481">
        <f>IF(AQ32="0",BJ32,0)</f>
        <v>0</v>
      </c>
      <c r="AI32" s="456" t="s">
        <v>334</v>
      </c>
      <c r="AJ32" s="481">
        <f>IF(AN32=0,J32,0)</f>
        <v>0</v>
      </c>
      <c r="AK32" s="481">
        <f>IF(AN32=15,J32,0)</f>
        <v>0</v>
      </c>
      <c r="AL32" s="481">
        <f>IF(AN32=21,J32,0)</f>
        <v>0</v>
      </c>
      <c r="AN32" s="481">
        <v>21</v>
      </c>
      <c r="AO32" s="481">
        <f>G32*0</f>
        <v>0</v>
      </c>
      <c r="AP32" s="481">
        <f>G32*(1-0)</f>
        <v>0</v>
      </c>
      <c r="AQ32" s="483" t="s">
        <v>254</v>
      </c>
      <c r="AV32" s="481">
        <f>AW32+AX32</f>
        <v>0</v>
      </c>
      <c r="AW32" s="481">
        <f>F32*AO32</f>
        <v>0</v>
      </c>
      <c r="AX32" s="481">
        <f>F32*AP32</f>
        <v>0</v>
      </c>
      <c r="AY32" s="483" t="s">
        <v>257</v>
      </c>
      <c r="AZ32" s="483" t="s">
        <v>336</v>
      </c>
      <c r="BA32" s="456" t="s">
        <v>337</v>
      </c>
      <c r="BC32" s="481">
        <f>AW32+AX32</f>
        <v>0</v>
      </c>
      <c r="BD32" s="481">
        <f>G32/(100-BE32)*100</f>
        <v>0</v>
      </c>
      <c r="BE32" s="481">
        <v>0</v>
      </c>
      <c r="BF32" s="481">
        <f>32</f>
        <v>32</v>
      </c>
      <c r="BH32" s="481">
        <f>F32*AO32</f>
        <v>0</v>
      </c>
      <c r="BI32" s="481">
        <f>F32*AP32</f>
        <v>0</v>
      </c>
      <c r="BJ32" s="481">
        <f>F32*G32</f>
        <v>0</v>
      </c>
      <c r="BK32" s="481"/>
      <c r="BL32" s="481">
        <v>11</v>
      </c>
      <c r="BW32" s="481">
        <v>21</v>
      </c>
      <c r="BX32" s="484" t="s">
        <v>415</v>
      </c>
    </row>
    <row r="33" spans="1:76" x14ac:dyDescent="0.25">
      <c r="A33" s="479" t="s">
        <v>251</v>
      </c>
      <c r="B33" s="480" t="s">
        <v>414</v>
      </c>
      <c r="C33" s="399" t="s">
        <v>416</v>
      </c>
      <c r="D33" s="395"/>
      <c r="E33" s="480" t="s">
        <v>278</v>
      </c>
      <c r="F33" s="481">
        <v>1</v>
      </c>
      <c r="G33" s="504">
        <v>0</v>
      </c>
      <c r="H33" s="481">
        <f>F33*AO33</f>
        <v>0</v>
      </c>
      <c r="I33" s="481">
        <f>F33*AP33</f>
        <v>0</v>
      </c>
      <c r="J33" s="481">
        <f>F33*G33</f>
        <v>0</v>
      </c>
      <c r="K33" s="482" t="s">
        <v>180</v>
      </c>
      <c r="Z33" s="481">
        <f>IF(AQ33="5",BJ33,0)</f>
        <v>0</v>
      </c>
      <c r="AB33" s="481">
        <f>IF(AQ33="1",BH33,0)</f>
        <v>0</v>
      </c>
      <c r="AC33" s="481">
        <f>IF(AQ33="1",BI33,0)</f>
        <v>0</v>
      </c>
      <c r="AD33" s="481">
        <f>IF(AQ33="7",BH33,0)</f>
        <v>0</v>
      </c>
      <c r="AE33" s="481">
        <f>IF(AQ33="7",BI33,0)</f>
        <v>0</v>
      </c>
      <c r="AF33" s="481">
        <f>IF(AQ33="2",BH33,0)</f>
        <v>0</v>
      </c>
      <c r="AG33" s="481">
        <f>IF(AQ33="2",BI33,0)</f>
        <v>0</v>
      </c>
      <c r="AH33" s="481">
        <f>IF(AQ33="0",BJ33,0)</f>
        <v>0</v>
      </c>
      <c r="AI33" s="456" t="s">
        <v>334</v>
      </c>
      <c r="AJ33" s="481">
        <f>IF(AN33=0,J33,0)</f>
        <v>0</v>
      </c>
      <c r="AK33" s="481">
        <f>IF(AN33=15,J33,0)</f>
        <v>0</v>
      </c>
      <c r="AL33" s="481">
        <f>IF(AN33=21,J33,0)</f>
        <v>0</v>
      </c>
      <c r="AN33" s="481">
        <v>21</v>
      </c>
      <c r="AO33" s="481">
        <f>G33*0</f>
        <v>0</v>
      </c>
      <c r="AP33" s="481">
        <f>G33*(1-0)</f>
        <v>0</v>
      </c>
      <c r="AQ33" s="483" t="s">
        <v>254</v>
      </c>
      <c r="AV33" s="481">
        <f>AW33+AX33</f>
        <v>0</v>
      </c>
      <c r="AW33" s="481">
        <f>F33*AO33</f>
        <v>0</v>
      </c>
      <c r="AX33" s="481">
        <f>F33*AP33</f>
        <v>0</v>
      </c>
      <c r="AY33" s="483" t="s">
        <v>257</v>
      </c>
      <c r="AZ33" s="483" t="s">
        <v>336</v>
      </c>
      <c r="BA33" s="456" t="s">
        <v>337</v>
      </c>
      <c r="BC33" s="481">
        <f>AW33+AX33</f>
        <v>0</v>
      </c>
      <c r="BD33" s="481">
        <f>G33/(100-BE33)*100</f>
        <v>0</v>
      </c>
      <c r="BE33" s="481">
        <v>0</v>
      </c>
      <c r="BF33" s="481">
        <f>33</f>
        <v>33</v>
      </c>
      <c r="BH33" s="481">
        <f>F33*AO33</f>
        <v>0</v>
      </c>
      <c r="BI33" s="481">
        <f>F33*AP33</f>
        <v>0</v>
      </c>
      <c r="BJ33" s="481">
        <f>F33*G33</f>
        <v>0</v>
      </c>
      <c r="BK33" s="481"/>
      <c r="BL33" s="481">
        <v>11</v>
      </c>
      <c r="BW33" s="481">
        <v>21</v>
      </c>
      <c r="BX33" s="484" t="s">
        <v>416</v>
      </c>
    </row>
    <row r="34" spans="1:76" x14ac:dyDescent="0.25">
      <c r="A34" s="473" t="s">
        <v>180</v>
      </c>
      <c r="B34" s="474" t="s">
        <v>273</v>
      </c>
      <c r="C34" s="475" t="s">
        <v>372</v>
      </c>
      <c r="D34" s="476"/>
      <c r="E34" s="477" t="s">
        <v>218</v>
      </c>
      <c r="F34" s="477" t="s">
        <v>218</v>
      </c>
      <c r="G34" s="477" t="s">
        <v>218</v>
      </c>
      <c r="H34" s="446">
        <f>SUM(H35:H39)</f>
        <v>0</v>
      </c>
      <c r="I34" s="446">
        <f>SUM(I35:I39)</f>
        <v>0</v>
      </c>
      <c r="J34" s="446">
        <f>SUM(J35:J39)</f>
        <v>0</v>
      </c>
      <c r="K34" s="478" t="s">
        <v>180</v>
      </c>
      <c r="AI34" s="456" t="s">
        <v>334</v>
      </c>
      <c r="AS34" s="446">
        <f>SUM(AJ35:AJ39)</f>
        <v>0</v>
      </c>
      <c r="AT34" s="446">
        <f>SUM(AK35:AK39)</f>
        <v>0</v>
      </c>
      <c r="AU34" s="446">
        <f>SUM(AL35:AL39)</f>
        <v>0</v>
      </c>
    </row>
    <row r="35" spans="1:76" x14ac:dyDescent="0.25">
      <c r="A35" s="479" t="s">
        <v>273</v>
      </c>
      <c r="B35" s="480" t="s">
        <v>339</v>
      </c>
      <c r="C35" s="399" t="s">
        <v>417</v>
      </c>
      <c r="D35" s="395"/>
      <c r="E35" s="480" t="s">
        <v>291</v>
      </c>
      <c r="F35" s="481">
        <v>8</v>
      </c>
      <c r="G35" s="504">
        <v>0</v>
      </c>
      <c r="H35" s="481">
        <f>F35*AO35</f>
        <v>0</v>
      </c>
      <c r="I35" s="481">
        <f>F35*AP35</f>
        <v>0</v>
      </c>
      <c r="J35" s="481">
        <f>F35*G35</f>
        <v>0</v>
      </c>
      <c r="K35" s="482" t="s">
        <v>312</v>
      </c>
      <c r="Z35" s="481">
        <f>IF(AQ35="5",BJ35,0)</f>
        <v>0</v>
      </c>
      <c r="AB35" s="481">
        <f>IF(AQ35="1",BH35,0)</f>
        <v>0</v>
      </c>
      <c r="AC35" s="481">
        <f>IF(AQ35="1",BI35,0)</f>
        <v>0</v>
      </c>
      <c r="AD35" s="481">
        <f>IF(AQ35="7",BH35,0)</f>
        <v>0</v>
      </c>
      <c r="AE35" s="481">
        <f>IF(AQ35="7",BI35,0)</f>
        <v>0</v>
      </c>
      <c r="AF35" s="481">
        <f>IF(AQ35="2",BH35,0)</f>
        <v>0</v>
      </c>
      <c r="AG35" s="481">
        <f>IF(AQ35="2",BI35,0)</f>
        <v>0</v>
      </c>
      <c r="AH35" s="481">
        <f>IF(AQ35="0",BJ35,0)</f>
        <v>0</v>
      </c>
      <c r="AI35" s="456" t="s">
        <v>334</v>
      </c>
      <c r="AJ35" s="481">
        <f>IF(AN35=0,J35,0)</f>
        <v>0</v>
      </c>
      <c r="AK35" s="481">
        <f>IF(AN35=15,J35,0)</f>
        <v>0</v>
      </c>
      <c r="AL35" s="481">
        <f>IF(AN35=21,J35,0)</f>
        <v>0</v>
      </c>
      <c r="AN35" s="481">
        <v>21</v>
      </c>
      <c r="AO35" s="481">
        <f>G35*0</f>
        <v>0</v>
      </c>
      <c r="AP35" s="481">
        <f>G35*(1-0)</f>
        <v>0</v>
      </c>
      <c r="AQ35" s="483" t="s">
        <v>254</v>
      </c>
      <c r="AV35" s="481">
        <f>AW35+AX35</f>
        <v>0</v>
      </c>
      <c r="AW35" s="481">
        <f>F35*AO35</f>
        <v>0</v>
      </c>
      <c r="AX35" s="481">
        <f>F35*AP35</f>
        <v>0</v>
      </c>
      <c r="AY35" s="483" t="s">
        <v>374</v>
      </c>
      <c r="AZ35" s="483" t="s">
        <v>336</v>
      </c>
      <c r="BA35" s="456" t="s">
        <v>337</v>
      </c>
      <c r="BC35" s="481">
        <f>AW35+AX35</f>
        <v>0</v>
      </c>
      <c r="BD35" s="481">
        <f>G35/(100-BE35)*100</f>
        <v>0</v>
      </c>
      <c r="BE35" s="481">
        <v>0</v>
      </c>
      <c r="BF35" s="481">
        <f>35</f>
        <v>35</v>
      </c>
      <c r="BH35" s="481">
        <f>F35*AO35</f>
        <v>0</v>
      </c>
      <c r="BI35" s="481">
        <f>F35*AP35</f>
        <v>0</v>
      </c>
      <c r="BJ35" s="481">
        <f>F35*G35</f>
        <v>0</v>
      </c>
      <c r="BK35" s="481"/>
      <c r="BL35" s="481">
        <v>12</v>
      </c>
      <c r="BW35" s="481">
        <v>21</v>
      </c>
      <c r="BX35" s="484" t="s">
        <v>417</v>
      </c>
    </row>
    <row r="36" spans="1:76" x14ac:dyDescent="0.25">
      <c r="A36" s="479" t="s">
        <v>274</v>
      </c>
      <c r="B36" s="480" t="s">
        <v>346</v>
      </c>
      <c r="C36" s="399" t="s">
        <v>418</v>
      </c>
      <c r="D36" s="395"/>
      <c r="E36" s="480" t="s">
        <v>255</v>
      </c>
      <c r="F36" s="481">
        <v>27</v>
      </c>
      <c r="G36" s="504">
        <v>0</v>
      </c>
      <c r="H36" s="481">
        <f>F36*AO36</f>
        <v>0</v>
      </c>
      <c r="I36" s="481">
        <f>F36*AP36</f>
        <v>0</v>
      </c>
      <c r="J36" s="481">
        <f>F36*G36</f>
        <v>0</v>
      </c>
      <c r="K36" s="482" t="s">
        <v>256</v>
      </c>
      <c r="Z36" s="481">
        <f>IF(AQ36="5",BJ36,0)</f>
        <v>0</v>
      </c>
      <c r="AB36" s="481">
        <f>IF(AQ36="1",BH36,0)</f>
        <v>0</v>
      </c>
      <c r="AC36" s="481">
        <f>IF(AQ36="1",BI36,0)</f>
        <v>0</v>
      </c>
      <c r="AD36" s="481">
        <f>IF(AQ36="7",BH36,0)</f>
        <v>0</v>
      </c>
      <c r="AE36" s="481">
        <f>IF(AQ36="7",BI36,0)</f>
        <v>0</v>
      </c>
      <c r="AF36" s="481">
        <f>IF(AQ36="2",BH36,0)</f>
        <v>0</v>
      </c>
      <c r="AG36" s="481">
        <f>IF(AQ36="2",BI36,0)</f>
        <v>0</v>
      </c>
      <c r="AH36" s="481">
        <f>IF(AQ36="0",BJ36,0)</f>
        <v>0</v>
      </c>
      <c r="AI36" s="456" t="s">
        <v>334</v>
      </c>
      <c r="AJ36" s="481">
        <f>IF(AN36=0,J36,0)</f>
        <v>0</v>
      </c>
      <c r="AK36" s="481">
        <f>IF(AN36=15,J36,0)</f>
        <v>0</v>
      </c>
      <c r="AL36" s="481">
        <f>IF(AN36=21,J36,0)</f>
        <v>0</v>
      </c>
      <c r="AN36" s="481">
        <v>21</v>
      </c>
      <c r="AO36" s="481">
        <f>G36*0</f>
        <v>0</v>
      </c>
      <c r="AP36" s="481">
        <f>G36*(1-0)</f>
        <v>0</v>
      </c>
      <c r="AQ36" s="483" t="s">
        <v>254</v>
      </c>
      <c r="AV36" s="481">
        <f>AW36+AX36</f>
        <v>0</v>
      </c>
      <c r="AW36" s="481">
        <f>F36*AO36</f>
        <v>0</v>
      </c>
      <c r="AX36" s="481">
        <f>F36*AP36</f>
        <v>0</v>
      </c>
      <c r="AY36" s="483" t="s">
        <v>374</v>
      </c>
      <c r="AZ36" s="483" t="s">
        <v>336</v>
      </c>
      <c r="BA36" s="456" t="s">
        <v>337</v>
      </c>
      <c r="BC36" s="481">
        <f>AW36+AX36</f>
        <v>0</v>
      </c>
      <c r="BD36" s="481">
        <f>G36/(100-BE36)*100</f>
        <v>0</v>
      </c>
      <c r="BE36" s="481">
        <v>0</v>
      </c>
      <c r="BF36" s="481">
        <f>36</f>
        <v>36</v>
      </c>
      <c r="BH36" s="481">
        <f>F36*AO36</f>
        <v>0</v>
      </c>
      <c r="BI36" s="481">
        <f>F36*AP36</f>
        <v>0</v>
      </c>
      <c r="BJ36" s="481">
        <f>F36*G36</f>
        <v>0</v>
      </c>
      <c r="BK36" s="481"/>
      <c r="BL36" s="481">
        <v>12</v>
      </c>
      <c r="BW36" s="481">
        <v>21</v>
      </c>
      <c r="BX36" s="484" t="s">
        <v>418</v>
      </c>
    </row>
    <row r="37" spans="1:76" ht="25.5" x14ac:dyDescent="0.25">
      <c r="A37" s="479" t="s">
        <v>275</v>
      </c>
      <c r="B37" s="480" t="s">
        <v>339</v>
      </c>
      <c r="C37" s="399" t="s">
        <v>419</v>
      </c>
      <c r="D37" s="395"/>
      <c r="E37" s="480" t="s">
        <v>291</v>
      </c>
      <c r="F37" s="481">
        <v>75</v>
      </c>
      <c r="G37" s="504">
        <v>0</v>
      </c>
      <c r="H37" s="481">
        <f>F37*AO37</f>
        <v>0</v>
      </c>
      <c r="I37" s="481">
        <f>F37*AP37</f>
        <v>0</v>
      </c>
      <c r="J37" s="481">
        <f>F37*G37</f>
        <v>0</v>
      </c>
      <c r="K37" s="482" t="s">
        <v>312</v>
      </c>
      <c r="Z37" s="481">
        <f>IF(AQ37="5",BJ37,0)</f>
        <v>0</v>
      </c>
      <c r="AB37" s="481">
        <f>IF(AQ37="1",BH37,0)</f>
        <v>0</v>
      </c>
      <c r="AC37" s="481">
        <f>IF(AQ37="1",BI37,0)</f>
        <v>0</v>
      </c>
      <c r="AD37" s="481">
        <f>IF(AQ37="7",BH37,0)</f>
        <v>0</v>
      </c>
      <c r="AE37" s="481">
        <f>IF(AQ37="7",BI37,0)</f>
        <v>0</v>
      </c>
      <c r="AF37" s="481">
        <f>IF(AQ37="2",BH37,0)</f>
        <v>0</v>
      </c>
      <c r="AG37" s="481">
        <f>IF(AQ37="2",BI37,0)</f>
        <v>0</v>
      </c>
      <c r="AH37" s="481">
        <f>IF(AQ37="0",BJ37,0)</f>
        <v>0</v>
      </c>
      <c r="AI37" s="456" t="s">
        <v>334</v>
      </c>
      <c r="AJ37" s="481">
        <f>IF(AN37=0,J37,0)</f>
        <v>0</v>
      </c>
      <c r="AK37" s="481">
        <f>IF(AN37=15,J37,0)</f>
        <v>0</v>
      </c>
      <c r="AL37" s="481">
        <f>IF(AN37=21,J37,0)</f>
        <v>0</v>
      </c>
      <c r="AN37" s="481">
        <v>21</v>
      </c>
      <c r="AO37" s="481">
        <f>G37*0</f>
        <v>0</v>
      </c>
      <c r="AP37" s="481">
        <f>G37*(1-0)</f>
        <v>0</v>
      </c>
      <c r="AQ37" s="483" t="s">
        <v>254</v>
      </c>
      <c r="AV37" s="481">
        <f>AW37+AX37</f>
        <v>0</v>
      </c>
      <c r="AW37" s="481">
        <f>F37*AO37</f>
        <v>0</v>
      </c>
      <c r="AX37" s="481">
        <f>F37*AP37</f>
        <v>0</v>
      </c>
      <c r="AY37" s="483" t="s">
        <v>374</v>
      </c>
      <c r="AZ37" s="483" t="s">
        <v>336</v>
      </c>
      <c r="BA37" s="456" t="s">
        <v>337</v>
      </c>
      <c r="BC37" s="481">
        <f>AW37+AX37</f>
        <v>0</v>
      </c>
      <c r="BD37" s="481">
        <f>G37/(100-BE37)*100</f>
        <v>0</v>
      </c>
      <c r="BE37" s="481">
        <v>0</v>
      </c>
      <c r="BF37" s="481">
        <f>37</f>
        <v>37</v>
      </c>
      <c r="BH37" s="481">
        <f>F37*AO37</f>
        <v>0</v>
      </c>
      <c r="BI37" s="481">
        <f>F37*AP37</f>
        <v>0</v>
      </c>
      <c r="BJ37" s="481">
        <f>F37*G37</f>
        <v>0</v>
      </c>
      <c r="BK37" s="481"/>
      <c r="BL37" s="481">
        <v>12</v>
      </c>
      <c r="BW37" s="481">
        <v>21</v>
      </c>
      <c r="BX37" s="484" t="s">
        <v>419</v>
      </c>
    </row>
    <row r="38" spans="1:76" ht="13.5" customHeight="1" x14ac:dyDescent="0.25">
      <c r="A38" s="485"/>
      <c r="B38" s="486" t="s">
        <v>214</v>
      </c>
      <c r="C38" s="487" t="s">
        <v>420</v>
      </c>
      <c r="D38" s="488"/>
      <c r="E38" s="488"/>
      <c r="F38" s="488"/>
      <c r="G38" s="488"/>
      <c r="H38" s="488"/>
      <c r="I38" s="488"/>
      <c r="J38" s="488"/>
      <c r="K38" s="489"/>
    </row>
    <row r="39" spans="1:76" x14ac:dyDescent="0.25">
      <c r="A39" s="479" t="s">
        <v>276</v>
      </c>
      <c r="B39" s="480" t="s">
        <v>346</v>
      </c>
      <c r="C39" s="399" t="s">
        <v>421</v>
      </c>
      <c r="D39" s="395"/>
      <c r="E39" s="480" t="s">
        <v>255</v>
      </c>
      <c r="F39" s="481">
        <v>150</v>
      </c>
      <c r="G39" s="504">
        <v>0</v>
      </c>
      <c r="H39" s="481">
        <f>F39*AO39</f>
        <v>0</v>
      </c>
      <c r="I39" s="481">
        <f>F39*AP39</f>
        <v>0</v>
      </c>
      <c r="J39" s="481">
        <f>F39*G39</f>
        <v>0</v>
      </c>
      <c r="K39" s="482" t="s">
        <v>256</v>
      </c>
      <c r="Z39" s="481">
        <f>IF(AQ39="5",BJ39,0)</f>
        <v>0</v>
      </c>
      <c r="AB39" s="481">
        <f>IF(AQ39="1",BH39,0)</f>
        <v>0</v>
      </c>
      <c r="AC39" s="481">
        <f>IF(AQ39="1",BI39,0)</f>
        <v>0</v>
      </c>
      <c r="AD39" s="481">
        <f>IF(AQ39="7",BH39,0)</f>
        <v>0</v>
      </c>
      <c r="AE39" s="481">
        <f>IF(AQ39="7",BI39,0)</f>
        <v>0</v>
      </c>
      <c r="AF39" s="481">
        <f>IF(AQ39="2",BH39,0)</f>
        <v>0</v>
      </c>
      <c r="AG39" s="481">
        <f>IF(AQ39="2",BI39,0)</f>
        <v>0</v>
      </c>
      <c r="AH39" s="481">
        <f>IF(AQ39="0",BJ39,0)</f>
        <v>0</v>
      </c>
      <c r="AI39" s="456" t="s">
        <v>334</v>
      </c>
      <c r="AJ39" s="481">
        <f>IF(AN39=0,J39,0)</f>
        <v>0</v>
      </c>
      <c r="AK39" s="481">
        <f>IF(AN39=15,J39,0)</f>
        <v>0</v>
      </c>
      <c r="AL39" s="481">
        <f>IF(AN39=21,J39,0)</f>
        <v>0</v>
      </c>
      <c r="AN39" s="481">
        <v>21</v>
      </c>
      <c r="AO39" s="481">
        <f>G39*0</f>
        <v>0</v>
      </c>
      <c r="AP39" s="481">
        <f>G39*(1-0)</f>
        <v>0</v>
      </c>
      <c r="AQ39" s="483" t="s">
        <v>254</v>
      </c>
      <c r="AV39" s="481">
        <f>AW39+AX39</f>
        <v>0</v>
      </c>
      <c r="AW39" s="481">
        <f>F39*AO39</f>
        <v>0</v>
      </c>
      <c r="AX39" s="481">
        <f>F39*AP39</f>
        <v>0</v>
      </c>
      <c r="AY39" s="483" t="s">
        <v>374</v>
      </c>
      <c r="AZ39" s="483" t="s">
        <v>336</v>
      </c>
      <c r="BA39" s="456" t="s">
        <v>337</v>
      </c>
      <c r="BC39" s="481">
        <f>AW39+AX39</f>
        <v>0</v>
      </c>
      <c r="BD39" s="481">
        <f>G39/(100-BE39)*100</f>
        <v>0</v>
      </c>
      <c r="BE39" s="481">
        <v>0</v>
      </c>
      <c r="BF39" s="481">
        <f>39</f>
        <v>39</v>
      </c>
      <c r="BH39" s="481">
        <f>F39*AO39</f>
        <v>0</v>
      </c>
      <c r="BI39" s="481">
        <f>F39*AP39</f>
        <v>0</v>
      </c>
      <c r="BJ39" s="481">
        <f>F39*G39</f>
        <v>0</v>
      </c>
      <c r="BK39" s="481"/>
      <c r="BL39" s="481">
        <v>12</v>
      </c>
      <c r="BW39" s="481">
        <v>21</v>
      </c>
      <c r="BX39" s="484" t="s">
        <v>421</v>
      </c>
    </row>
    <row r="40" spans="1:76" x14ac:dyDescent="0.25">
      <c r="A40" s="473" t="s">
        <v>180</v>
      </c>
      <c r="B40" s="474" t="s">
        <v>269</v>
      </c>
      <c r="C40" s="475" t="s">
        <v>270</v>
      </c>
      <c r="D40" s="476"/>
      <c r="E40" s="477" t="s">
        <v>218</v>
      </c>
      <c r="F40" s="477" t="s">
        <v>218</v>
      </c>
      <c r="G40" s="477" t="s">
        <v>218</v>
      </c>
      <c r="H40" s="446">
        <f>SUM(H41:H43)</f>
        <v>0</v>
      </c>
      <c r="I40" s="446">
        <f>SUM(I41:I43)</f>
        <v>0</v>
      </c>
      <c r="J40" s="446">
        <f>SUM(J41:J43)</f>
        <v>0</v>
      </c>
      <c r="K40" s="478" t="s">
        <v>180</v>
      </c>
      <c r="AI40" s="456" t="s">
        <v>334</v>
      </c>
      <c r="AS40" s="446">
        <f>SUM(AJ41:AJ43)</f>
        <v>0</v>
      </c>
      <c r="AT40" s="446">
        <f>SUM(AK41:AK43)</f>
        <v>0</v>
      </c>
      <c r="AU40" s="446">
        <f>SUM(AL41:AL43)</f>
        <v>0</v>
      </c>
    </row>
    <row r="41" spans="1:76" x14ac:dyDescent="0.25">
      <c r="A41" s="479" t="s">
        <v>269</v>
      </c>
      <c r="B41" s="480" t="s">
        <v>422</v>
      </c>
      <c r="C41" s="399" t="s">
        <v>423</v>
      </c>
      <c r="D41" s="395"/>
      <c r="E41" s="480" t="s">
        <v>291</v>
      </c>
      <c r="F41" s="481">
        <v>8</v>
      </c>
      <c r="G41" s="504">
        <v>0</v>
      </c>
      <c r="H41" s="481">
        <f>F41*AO41</f>
        <v>0</v>
      </c>
      <c r="I41" s="481">
        <f>F41*AP41</f>
        <v>0</v>
      </c>
      <c r="J41" s="481">
        <f>F41*G41</f>
        <v>0</v>
      </c>
      <c r="K41" s="482" t="s">
        <v>256</v>
      </c>
      <c r="Z41" s="481">
        <f>IF(AQ41="5",BJ41,0)</f>
        <v>0</v>
      </c>
      <c r="AB41" s="481">
        <f>IF(AQ41="1",BH41,0)</f>
        <v>0</v>
      </c>
      <c r="AC41" s="481">
        <f>IF(AQ41="1",BI41,0)</f>
        <v>0</v>
      </c>
      <c r="AD41" s="481">
        <f>IF(AQ41="7",BH41,0)</f>
        <v>0</v>
      </c>
      <c r="AE41" s="481">
        <f>IF(AQ41="7",BI41,0)</f>
        <v>0</v>
      </c>
      <c r="AF41" s="481">
        <f>IF(AQ41="2",BH41,0)</f>
        <v>0</v>
      </c>
      <c r="AG41" s="481">
        <f>IF(AQ41="2",BI41,0)</f>
        <v>0</v>
      </c>
      <c r="AH41" s="481">
        <f>IF(AQ41="0",BJ41,0)</f>
        <v>0</v>
      </c>
      <c r="AI41" s="456" t="s">
        <v>334</v>
      </c>
      <c r="AJ41" s="481">
        <f>IF(AN41=0,J41,0)</f>
        <v>0</v>
      </c>
      <c r="AK41" s="481">
        <f>IF(AN41=15,J41,0)</f>
        <v>0</v>
      </c>
      <c r="AL41" s="481">
        <f>IF(AN41=21,J41,0)</f>
        <v>0</v>
      </c>
      <c r="AN41" s="481">
        <v>21</v>
      </c>
      <c r="AO41" s="481">
        <f>G41*0</f>
        <v>0</v>
      </c>
      <c r="AP41" s="481">
        <f>G41*(1-0)</f>
        <v>0</v>
      </c>
      <c r="AQ41" s="483" t="s">
        <v>254</v>
      </c>
      <c r="AV41" s="481">
        <f>AW41+AX41</f>
        <v>0</v>
      </c>
      <c r="AW41" s="481">
        <f>F41*AO41</f>
        <v>0</v>
      </c>
      <c r="AX41" s="481">
        <f>F41*AP41</f>
        <v>0</v>
      </c>
      <c r="AY41" s="483" t="s">
        <v>272</v>
      </c>
      <c r="AZ41" s="483" t="s">
        <v>336</v>
      </c>
      <c r="BA41" s="456" t="s">
        <v>337</v>
      </c>
      <c r="BC41" s="481">
        <f>AW41+AX41</f>
        <v>0</v>
      </c>
      <c r="BD41" s="481">
        <f>G41/(100-BE41)*100</f>
        <v>0</v>
      </c>
      <c r="BE41" s="481">
        <v>0</v>
      </c>
      <c r="BF41" s="481">
        <f>41</f>
        <v>41</v>
      </c>
      <c r="BH41" s="481">
        <f>F41*AO41</f>
        <v>0</v>
      </c>
      <c r="BI41" s="481">
        <f>F41*AP41</f>
        <v>0</v>
      </c>
      <c r="BJ41" s="481">
        <f>F41*G41</f>
        <v>0</v>
      </c>
      <c r="BK41" s="481"/>
      <c r="BL41" s="481">
        <v>16</v>
      </c>
      <c r="BW41" s="481">
        <v>21</v>
      </c>
      <c r="BX41" s="484" t="s">
        <v>423</v>
      </c>
    </row>
    <row r="42" spans="1:76" x14ac:dyDescent="0.25">
      <c r="A42" s="479" t="s">
        <v>277</v>
      </c>
      <c r="B42" s="480" t="s">
        <v>424</v>
      </c>
      <c r="C42" s="399" t="s">
        <v>425</v>
      </c>
      <c r="D42" s="395"/>
      <c r="E42" s="480" t="s">
        <v>291</v>
      </c>
      <c r="F42" s="481">
        <v>10</v>
      </c>
      <c r="G42" s="504">
        <v>0</v>
      </c>
      <c r="H42" s="481">
        <f>F42*AO42</f>
        <v>0</v>
      </c>
      <c r="I42" s="481">
        <f>F42*AP42</f>
        <v>0</v>
      </c>
      <c r="J42" s="481">
        <f>F42*G42</f>
        <v>0</v>
      </c>
      <c r="K42" s="482" t="s">
        <v>256</v>
      </c>
      <c r="Z42" s="481">
        <f>IF(AQ42="5",BJ42,0)</f>
        <v>0</v>
      </c>
      <c r="AB42" s="481">
        <f>IF(AQ42="1",BH42,0)</f>
        <v>0</v>
      </c>
      <c r="AC42" s="481">
        <f>IF(AQ42="1",BI42,0)</f>
        <v>0</v>
      </c>
      <c r="AD42" s="481">
        <f>IF(AQ42="7",BH42,0)</f>
        <v>0</v>
      </c>
      <c r="AE42" s="481">
        <f>IF(AQ42="7",BI42,0)</f>
        <v>0</v>
      </c>
      <c r="AF42" s="481">
        <f>IF(AQ42="2",BH42,0)</f>
        <v>0</v>
      </c>
      <c r="AG42" s="481">
        <f>IF(AQ42="2",BI42,0)</f>
        <v>0</v>
      </c>
      <c r="AH42" s="481">
        <f>IF(AQ42="0",BJ42,0)</f>
        <v>0</v>
      </c>
      <c r="AI42" s="456" t="s">
        <v>334</v>
      </c>
      <c r="AJ42" s="481">
        <f>IF(AN42=0,J42,0)</f>
        <v>0</v>
      </c>
      <c r="AK42" s="481">
        <f>IF(AN42=15,J42,0)</f>
        <v>0</v>
      </c>
      <c r="AL42" s="481">
        <f>IF(AN42=21,J42,0)</f>
        <v>0</v>
      </c>
      <c r="AN42" s="481">
        <v>21</v>
      </c>
      <c r="AO42" s="481">
        <f>G42*0</f>
        <v>0</v>
      </c>
      <c r="AP42" s="481">
        <f>G42*(1-0)</f>
        <v>0</v>
      </c>
      <c r="AQ42" s="483" t="s">
        <v>254</v>
      </c>
      <c r="AV42" s="481">
        <f>AW42+AX42</f>
        <v>0</v>
      </c>
      <c r="AW42" s="481">
        <f>F42*AO42</f>
        <v>0</v>
      </c>
      <c r="AX42" s="481">
        <f>F42*AP42</f>
        <v>0</v>
      </c>
      <c r="AY42" s="483" t="s">
        <v>272</v>
      </c>
      <c r="AZ42" s="483" t="s">
        <v>336</v>
      </c>
      <c r="BA42" s="456" t="s">
        <v>337</v>
      </c>
      <c r="BC42" s="481">
        <f>AW42+AX42</f>
        <v>0</v>
      </c>
      <c r="BD42" s="481">
        <f>G42/(100-BE42)*100</f>
        <v>0</v>
      </c>
      <c r="BE42" s="481">
        <v>0</v>
      </c>
      <c r="BF42" s="481">
        <f>42</f>
        <v>42</v>
      </c>
      <c r="BH42" s="481">
        <f>F42*AO42</f>
        <v>0</v>
      </c>
      <c r="BI42" s="481">
        <f>F42*AP42</f>
        <v>0</v>
      </c>
      <c r="BJ42" s="481">
        <f>F42*G42</f>
        <v>0</v>
      </c>
      <c r="BK42" s="481"/>
      <c r="BL42" s="481">
        <v>16</v>
      </c>
      <c r="BW42" s="481">
        <v>21</v>
      </c>
      <c r="BX42" s="484" t="s">
        <v>425</v>
      </c>
    </row>
    <row r="43" spans="1:76" x14ac:dyDescent="0.25">
      <c r="A43" s="479" t="s">
        <v>279</v>
      </c>
      <c r="B43" s="480" t="s">
        <v>426</v>
      </c>
      <c r="C43" s="399" t="s">
        <v>427</v>
      </c>
      <c r="D43" s="395"/>
      <c r="E43" s="480" t="s">
        <v>291</v>
      </c>
      <c r="F43" s="481">
        <v>10</v>
      </c>
      <c r="G43" s="504">
        <v>0</v>
      </c>
      <c r="H43" s="481">
        <f>F43*AO43</f>
        <v>0</v>
      </c>
      <c r="I43" s="481">
        <f>F43*AP43</f>
        <v>0</v>
      </c>
      <c r="J43" s="481">
        <f>F43*G43</f>
        <v>0</v>
      </c>
      <c r="K43" s="482" t="s">
        <v>256</v>
      </c>
      <c r="Z43" s="481">
        <f>IF(AQ43="5",BJ43,0)</f>
        <v>0</v>
      </c>
      <c r="AB43" s="481">
        <f>IF(AQ43="1",BH43,0)</f>
        <v>0</v>
      </c>
      <c r="AC43" s="481">
        <f>IF(AQ43="1",BI43,0)</f>
        <v>0</v>
      </c>
      <c r="AD43" s="481">
        <f>IF(AQ43="7",BH43,0)</f>
        <v>0</v>
      </c>
      <c r="AE43" s="481">
        <f>IF(AQ43="7",BI43,0)</f>
        <v>0</v>
      </c>
      <c r="AF43" s="481">
        <f>IF(AQ43="2",BH43,0)</f>
        <v>0</v>
      </c>
      <c r="AG43" s="481">
        <f>IF(AQ43="2",BI43,0)</f>
        <v>0</v>
      </c>
      <c r="AH43" s="481">
        <f>IF(AQ43="0",BJ43,0)</f>
        <v>0</v>
      </c>
      <c r="AI43" s="456" t="s">
        <v>334</v>
      </c>
      <c r="AJ43" s="481">
        <f>IF(AN43=0,J43,0)</f>
        <v>0</v>
      </c>
      <c r="AK43" s="481">
        <f>IF(AN43=15,J43,0)</f>
        <v>0</v>
      </c>
      <c r="AL43" s="481">
        <f>IF(AN43=21,J43,0)</f>
        <v>0</v>
      </c>
      <c r="AN43" s="481">
        <v>21</v>
      </c>
      <c r="AO43" s="481">
        <f>G43*0</f>
        <v>0</v>
      </c>
      <c r="AP43" s="481">
        <f>G43*(1-0)</f>
        <v>0</v>
      </c>
      <c r="AQ43" s="483" t="s">
        <v>254</v>
      </c>
      <c r="AV43" s="481">
        <f>AW43+AX43</f>
        <v>0</v>
      </c>
      <c r="AW43" s="481">
        <f>F43*AO43</f>
        <v>0</v>
      </c>
      <c r="AX43" s="481">
        <f>F43*AP43</f>
        <v>0</v>
      </c>
      <c r="AY43" s="483" t="s">
        <v>272</v>
      </c>
      <c r="AZ43" s="483" t="s">
        <v>336</v>
      </c>
      <c r="BA43" s="456" t="s">
        <v>337</v>
      </c>
      <c r="BC43" s="481">
        <f>AW43+AX43</f>
        <v>0</v>
      </c>
      <c r="BD43" s="481">
        <f>G43/(100-BE43)*100</f>
        <v>0</v>
      </c>
      <c r="BE43" s="481">
        <v>0</v>
      </c>
      <c r="BF43" s="481">
        <f>43</f>
        <v>43</v>
      </c>
      <c r="BH43" s="481">
        <f>F43*AO43</f>
        <v>0</v>
      </c>
      <c r="BI43" s="481">
        <f>F43*AP43</f>
        <v>0</v>
      </c>
      <c r="BJ43" s="481">
        <f>F43*G43</f>
        <v>0</v>
      </c>
      <c r="BK43" s="481"/>
      <c r="BL43" s="481">
        <v>16</v>
      </c>
      <c r="BW43" s="481">
        <v>21</v>
      </c>
      <c r="BX43" s="484" t="s">
        <v>427</v>
      </c>
    </row>
    <row r="44" spans="1:76" x14ac:dyDescent="0.25">
      <c r="A44" s="473" t="s">
        <v>180</v>
      </c>
      <c r="B44" s="474" t="s">
        <v>279</v>
      </c>
      <c r="C44" s="475" t="s">
        <v>303</v>
      </c>
      <c r="D44" s="476"/>
      <c r="E44" s="477" t="s">
        <v>218</v>
      </c>
      <c r="F44" s="477" t="s">
        <v>218</v>
      </c>
      <c r="G44" s="477" t="s">
        <v>218</v>
      </c>
      <c r="H44" s="446">
        <f>SUM(H45:H48)</f>
        <v>0</v>
      </c>
      <c r="I44" s="446">
        <f>SUM(I45:I48)</f>
        <v>0</v>
      </c>
      <c r="J44" s="446">
        <f>SUM(J45:J48)</f>
        <v>0</v>
      </c>
      <c r="K44" s="478" t="s">
        <v>180</v>
      </c>
      <c r="AI44" s="456" t="s">
        <v>334</v>
      </c>
      <c r="AS44" s="446">
        <f>SUM(AJ45:AJ48)</f>
        <v>0</v>
      </c>
      <c r="AT44" s="446">
        <f>SUM(AK45:AK48)</f>
        <v>0</v>
      </c>
      <c r="AU44" s="446">
        <f>SUM(AL45:AL48)</f>
        <v>0</v>
      </c>
    </row>
    <row r="45" spans="1:76" ht="25.5" x14ac:dyDescent="0.25">
      <c r="A45" s="479" t="s">
        <v>280</v>
      </c>
      <c r="B45" s="480" t="s">
        <v>428</v>
      </c>
      <c r="C45" s="399" t="s">
        <v>429</v>
      </c>
      <c r="D45" s="395"/>
      <c r="E45" s="480" t="s">
        <v>430</v>
      </c>
      <c r="F45" s="481">
        <v>119</v>
      </c>
      <c r="G45" s="504">
        <v>0</v>
      </c>
      <c r="H45" s="481">
        <f>F45*AO45</f>
        <v>0</v>
      </c>
      <c r="I45" s="481">
        <f>F45*AP45</f>
        <v>0</v>
      </c>
      <c r="J45" s="481">
        <f>F45*G45</f>
        <v>0</v>
      </c>
      <c r="K45" s="482" t="s">
        <v>180</v>
      </c>
      <c r="Z45" s="481">
        <f>IF(AQ45="5",BJ45,0)</f>
        <v>0</v>
      </c>
      <c r="AB45" s="481">
        <f>IF(AQ45="1",BH45,0)</f>
        <v>0</v>
      </c>
      <c r="AC45" s="481">
        <f>IF(AQ45="1",BI45,0)</f>
        <v>0</v>
      </c>
      <c r="AD45" s="481">
        <f>IF(AQ45="7",BH45,0)</f>
        <v>0</v>
      </c>
      <c r="AE45" s="481">
        <f>IF(AQ45="7",BI45,0)</f>
        <v>0</v>
      </c>
      <c r="AF45" s="481">
        <f>IF(AQ45="2",BH45,0)</f>
        <v>0</v>
      </c>
      <c r="AG45" s="481">
        <f>IF(AQ45="2",BI45,0)</f>
        <v>0</v>
      </c>
      <c r="AH45" s="481">
        <f>IF(AQ45="0",BJ45,0)</f>
        <v>0</v>
      </c>
      <c r="AI45" s="456" t="s">
        <v>334</v>
      </c>
      <c r="AJ45" s="481">
        <f>IF(AN45=0,J45,0)</f>
        <v>0</v>
      </c>
      <c r="AK45" s="481">
        <f>IF(AN45=15,J45,0)</f>
        <v>0</v>
      </c>
      <c r="AL45" s="481">
        <f>IF(AN45=21,J45,0)</f>
        <v>0</v>
      </c>
      <c r="AN45" s="481">
        <v>21</v>
      </c>
      <c r="AO45" s="481">
        <f>G45*0</f>
        <v>0</v>
      </c>
      <c r="AP45" s="481">
        <f>G45*(1-0)</f>
        <v>0</v>
      </c>
      <c r="AQ45" s="483" t="s">
        <v>254</v>
      </c>
      <c r="AV45" s="481">
        <f>AW45+AX45</f>
        <v>0</v>
      </c>
      <c r="AW45" s="481">
        <f>F45*AO45</f>
        <v>0</v>
      </c>
      <c r="AX45" s="481">
        <f>F45*AP45</f>
        <v>0</v>
      </c>
      <c r="AY45" s="483" t="s">
        <v>305</v>
      </c>
      <c r="AZ45" s="483" t="s">
        <v>336</v>
      </c>
      <c r="BA45" s="456" t="s">
        <v>337</v>
      </c>
      <c r="BC45" s="481">
        <f>AW45+AX45</f>
        <v>0</v>
      </c>
      <c r="BD45" s="481">
        <f>G45/(100-BE45)*100</f>
        <v>0</v>
      </c>
      <c r="BE45" s="481">
        <v>0</v>
      </c>
      <c r="BF45" s="481">
        <f>45</f>
        <v>45</v>
      </c>
      <c r="BH45" s="481">
        <f>F45*AO45</f>
        <v>0</v>
      </c>
      <c r="BI45" s="481">
        <f>F45*AP45</f>
        <v>0</v>
      </c>
      <c r="BJ45" s="481">
        <f>F45*G45</f>
        <v>0</v>
      </c>
      <c r="BK45" s="481"/>
      <c r="BL45" s="481">
        <v>18</v>
      </c>
      <c r="BW45" s="481">
        <v>21</v>
      </c>
      <c r="BX45" s="484" t="s">
        <v>429</v>
      </c>
    </row>
    <row r="46" spans="1:76" ht="25.5" x14ac:dyDescent="0.25">
      <c r="A46" s="479" t="s">
        <v>283</v>
      </c>
      <c r="B46" s="480" t="s">
        <v>431</v>
      </c>
      <c r="C46" s="399" t="s">
        <v>432</v>
      </c>
      <c r="D46" s="395"/>
      <c r="E46" s="480" t="s">
        <v>255</v>
      </c>
      <c r="F46" s="481">
        <v>602</v>
      </c>
      <c r="G46" s="504">
        <v>0</v>
      </c>
      <c r="H46" s="481">
        <f>F46*AO46</f>
        <v>0</v>
      </c>
      <c r="I46" s="481">
        <f>F46*AP46</f>
        <v>0</v>
      </c>
      <c r="J46" s="481">
        <f>F46*G46</f>
        <v>0</v>
      </c>
      <c r="K46" s="482" t="s">
        <v>256</v>
      </c>
      <c r="Z46" s="481">
        <f>IF(AQ46="5",BJ46,0)</f>
        <v>0</v>
      </c>
      <c r="AB46" s="481">
        <f>IF(AQ46="1",BH46,0)</f>
        <v>0</v>
      </c>
      <c r="AC46" s="481">
        <f>IF(AQ46="1",BI46,0)</f>
        <v>0</v>
      </c>
      <c r="AD46" s="481">
        <f>IF(AQ46="7",BH46,0)</f>
        <v>0</v>
      </c>
      <c r="AE46" s="481">
        <f>IF(AQ46="7",BI46,0)</f>
        <v>0</v>
      </c>
      <c r="AF46" s="481">
        <f>IF(AQ46="2",BH46,0)</f>
        <v>0</v>
      </c>
      <c r="AG46" s="481">
        <f>IF(AQ46="2",BI46,0)</f>
        <v>0</v>
      </c>
      <c r="AH46" s="481">
        <f>IF(AQ46="0",BJ46,0)</f>
        <v>0</v>
      </c>
      <c r="AI46" s="456" t="s">
        <v>334</v>
      </c>
      <c r="AJ46" s="481">
        <f>IF(AN46=0,J46,0)</f>
        <v>0</v>
      </c>
      <c r="AK46" s="481">
        <f>IF(AN46=15,J46,0)</f>
        <v>0</v>
      </c>
      <c r="AL46" s="481">
        <f>IF(AN46=21,J46,0)</f>
        <v>0</v>
      </c>
      <c r="AN46" s="481">
        <v>21</v>
      </c>
      <c r="AO46" s="481">
        <f>G46*0.208796659</f>
        <v>0</v>
      </c>
      <c r="AP46" s="481">
        <f>G46*(1-0.208796659)</f>
        <v>0</v>
      </c>
      <c r="AQ46" s="483" t="s">
        <v>254</v>
      </c>
      <c r="AV46" s="481">
        <f>AW46+AX46</f>
        <v>0</v>
      </c>
      <c r="AW46" s="481">
        <f>F46*AO46</f>
        <v>0</v>
      </c>
      <c r="AX46" s="481">
        <f>F46*AP46</f>
        <v>0</v>
      </c>
      <c r="AY46" s="483" t="s">
        <v>305</v>
      </c>
      <c r="AZ46" s="483" t="s">
        <v>336</v>
      </c>
      <c r="BA46" s="456" t="s">
        <v>337</v>
      </c>
      <c r="BC46" s="481">
        <f>AW46+AX46</f>
        <v>0</v>
      </c>
      <c r="BD46" s="481">
        <f>G46/(100-BE46)*100</f>
        <v>0</v>
      </c>
      <c r="BE46" s="481">
        <v>0</v>
      </c>
      <c r="BF46" s="481">
        <f>46</f>
        <v>46</v>
      </c>
      <c r="BH46" s="481">
        <f>F46*AO46</f>
        <v>0</v>
      </c>
      <c r="BI46" s="481">
        <f>F46*AP46</f>
        <v>0</v>
      </c>
      <c r="BJ46" s="481">
        <f>F46*G46</f>
        <v>0</v>
      </c>
      <c r="BK46" s="481"/>
      <c r="BL46" s="481">
        <v>18</v>
      </c>
      <c r="BW46" s="481">
        <v>21</v>
      </c>
      <c r="BX46" s="484" t="s">
        <v>432</v>
      </c>
    </row>
    <row r="47" spans="1:76" ht="13.5" customHeight="1" x14ac:dyDescent="0.25">
      <c r="A47" s="485"/>
      <c r="B47" s="486" t="s">
        <v>214</v>
      </c>
      <c r="C47" s="487" t="s">
        <v>433</v>
      </c>
      <c r="D47" s="488"/>
      <c r="E47" s="488"/>
      <c r="F47" s="488"/>
      <c r="G47" s="488"/>
      <c r="H47" s="488"/>
      <c r="I47" s="488"/>
      <c r="J47" s="488"/>
      <c r="K47" s="489"/>
    </row>
    <row r="48" spans="1:76" x14ac:dyDescent="0.25">
      <c r="A48" s="479" t="s">
        <v>290</v>
      </c>
      <c r="B48" s="480" t="s">
        <v>434</v>
      </c>
      <c r="C48" s="399" t="s">
        <v>435</v>
      </c>
      <c r="D48" s="395"/>
      <c r="E48" s="480" t="s">
        <v>255</v>
      </c>
      <c r="F48" s="481">
        <v>602</v>
      </c>
      <c r="G48" s="504">
        <v>0</v>
      </c>
      <c r="H48" s="481">
        <f>F48*AO48</f>
        <v>0</v>
      </c>
      <c r="I48" s="481">
        <f>F48*AP48</f>
        <v>0</v>
      </c>
      <c r="J48" s="481">
        <f>F48*G48</f>
        <v>0</v>
      </c>
      <c r="K48" s="482" t="s">
        <v>256</v>
      </c>
      <c r="Z48" s="481">
        <f>IF(AQ48="5",BJ48,0)</f>
        <v>0</v>
      </c>
      <c r="AB48" s="481">
        <f>IF(AQ48="1",BH48,0)</f>
        <v>0</v>
      </c>
      <c r="AC48" s="481">
        <f>IF(AQ48="1",BI48,0)</f>
        <v>0</v>
      </c>
      <c r="AD48" s="481">
        <f>IF(AQ48="7",BH48,0)</f>
        <v>0</v>
      </c>
      <c r="AE48" s="481">
        <f>IF(AQ48="7",BI48,0)</f>
        <v>0</v>
      </c>
      <c r="AF48" s="481">
        <f>IF(AQ48="2",BH48,0)</f>
        <v>0</v>
      </c>
      <c r="AG48" s="481">
        <f>IF(AQ48="2",BI48,0)</f>
        <v>0</v>
      </c>
      <c r="AH48" s="481">
        <f>IF(AQ48="0",BJ48,0)</f>
        <v>0</v>
      </c>
      <c r="AI48" s="456" t="s">
        <v>334</v>
      </c>
      <c r="AJ48" s="481">
        <f>IF(AN48=0,J48,0)</f>
        <v>0</v>
      </c>
      <c r="AK48" s="481">
        <f>IF(AN48=15,J48,0)</f>
        <v>0</v>
      </c>
      <c r="AL48" s="481">
        <f>IF(AN48=21,J48,0)</f>
        <v>0</v>
      </c>
      <c r="AN48" s="481">
        <v>21</v>
      </c>
      <c r="AO48" s="481">
        <f>G48*0</f>
        <v>0</v>
      </c>
      <c r="AP48" s="481">
        <f>G48*(1-0)</f>
        <v>0</v>
      </c>
      <c r="AQ48" s="483" t="s">
        <v>254</v>
      </c>
      <c r="AV48" s="481">
        <f>AW48+AX48</f>
        <v>0</v>
      </c>
      <c r="AW48" s="481">
        <f>F48*AO48</f>
        <v>0</v>
      </c>
      <c r="AX48" s="481">
        <f>F48*AP48</f>
        <v>0</v>
      </c>
      <c r="AY48" s="483" t="s">
        <v>305</v>
      </c>
      <c r="AZ48" s="483" t="s">
        <v>336</v>
      </c>
      <c r="BA48" s="456" t="s">
        <v>337</v>
      </c>
      <c r="BC48" s="481">
        <f>AW48+AX48</f>
        <v>0</v>
      </c>
      <c r="BD48" s="481">
        <f>G48/(100-BE48)*100</f>
        <v>0</v>
      </c>
      <c r="BE48" s="481">
        <v>0</v>
      </c>
      <c r="BF48" s="481">
        <f>48</f>
        <v>48</v>
      </c>
      <c r="BH48" s="481">
        <f>F48*AO48</f>
        <v>0</v>
      </c>
      <c r="BI48" s="481">
        <f>F48*AP48</f>
        <v>0</v>
      </c>
      <c r="BJ48" s="481">
        <f>F48*G48</f>
        <v>0</v>
      </c>
      <c r="BK48" s="481"/>
      <c r="BL48" s="481">
        <v>18</v>
      </c>
      <c r="BW48" s="481">
        <v>21</v>
      </c>
      <c r="BX48" s="484" t="s">
        <v>435</v>
      </c>
    </row>
    <row r="49" spans="1:76" x14ac:dyDescent="0.25">
      <c r="A49" s="473" t="s">
        <v>180</v>
      </c>
      <c r="B49" s="474" t="s">
        <v>306</v>
      </c>
      <c r="C49" s="475" t="s">
        <v>436</v>
      </c>
      <c r="D49" s="476"/>
      <c r="E49" s="477" t="s">
        <v>218</v>
      </c>
      <c r="F49" s="477" t="s">
        <v>218</v>
      </c>
      <c r="G49" s="477" t="s">
        <v>218</v>
      </c>
      <c r="H49" s="446">
        <f>SUM(H50:H50)</f>
        <v>0</v>
      </c>
      <c r="I49" s="446">
        <f>SUM(I50:I50)</f>
        <v>0</v>
      </c>
      <c r="J49" s="446">
        <f>SUM(J50:J50)</f>
        <v>0</v>
      </c>
      <c r="K49" s="478" t="s">
        <v>180</v>
      </c>
      <c r="AI49" s="456" t="s">
        <v>334</v>
      </c>
      <c r="AS49" s="446">
        <f>SUM(AJ50:AJ50)</f>
        <v>0</v>
      </c>
      <c r="AT49" s="446">
        <f>SUM(AK50:AK50)</f>
        <v>0</v>
      </c>
      <c r="AU49" s="446">
        <f>SUM(AL50:AL50)</f>
        <v>0</v>
      </c>
    </row>
    <row r="50" spans="1:76" x14ac:dyDescent="0.25">
      <c r="A50" s="479" t="s">
        <v>293</v>
      </c>
      <c r="B50" s="480" t="s">
        <v>437</v>
      </c>
      <c r="C50" s="399" t="s">
        <v>438</v>
      </c>
      <c r="D50" s="395"/>
      <c r="E50" s="480" t="s">
        <v>291</v>
      </c>
      <c r="F50" s="481">
        <v>1.2</v>
      </c>
      <c r="G50" s="504">
        <v>0</v>
      </c>
      <c r="H50" s="481">
        <f>F50*AO50</f>
        <v>0</v>
      </c>
      <c r="I50" s="481">
        <f>F50*AP50</f>
        <v>0</v>
      </c>
      <c r="J50" s="481">
        <f>F50*G50</f>
        <v>0</v>
      </c>
      <c r="K50" s="482" t="s">
        <v>312</v>
      </c>
      <c r="Z50" s="481">
        <f>IF(AQ50="5",BJ50,0)</f>
        <v>0</v>
      </c>
      <c r="AB50" s="481">
        <f>IF(AQ50="1",BH50,0)</f>
        <v>0</v>
      </c>
      <c r="AC50" s="481">
        <f>IF(AQ50="1",BI50,0)</f>
        <v>0</v>
      </c>
      <c r="AD50" s="481">
        <f>IF(AQ50="7",BH50,0)</f>
        <v>0</v>
      </c>
      <c r="AE50" s="481">
        <f>IF(AQ50="7",BI50,0)</f>
        <v>0</v>
      </c>
      <c r="AF50" s="481">
        <f>IF(AQ50="2",BH50,0)</f>
        <v>0</v>
      </c>
      <c r="AG50" s="481">
        <f>IF(AQ50="2",BI50,0)</f>
        <v>0</v>
      </c>
      <c r="AH50" s="481">
        <f>IF(AQ50="0",BJ50,0)</f>
        <v>0</v>
      </c>
      <c r="AI50" s="456" t="s">
        <v>334</v>
      </c>
      <c r="AJ50" s="481">
        <f>IF(AN50=0,J50,0)</f>
        <v>0</v>
      </c>
      <c r="AK50" s="481">
        <f>IF(AN50=15,J50,0)</f>
        <v>0</v>
      </c>
      <c r="AL50" s="481">
        <f>IF(AN50=21,J50,0)</f>
        <v>0</v>
      </c>
      <c r="AN50" s="481">
        <v>21</v>
      </c>
      <c r="AO50" s="481">
        <f>G50*0.927563121</f>
        <v>0</v>
      </c>
      <c r="AP50" s="481">
        <f>G50*(1-0.927563121)</f>
        <v>0</v>
      </c>
      <c r="AQ50" s="483" t="s">
        <v>254</v>
      </c>
      <c r="AV50" s="481">
        <f>AW50+AX50</f>
        <v>0</v>
      </c>
      <c r="AW50" s="481">
        <f>F50*AO50</f>
        <v>0</v>
      </c>
      <c r="AX50" s="481">
        <f>F50*AP50</f>
        <v>0</v>
      </c>
      <c r="AY50" s="483" t="s">
        <v>439</v>
      </c>
      <c r="AZ50" s="483" t="s">
        <v>494</v>
      </c>
      <c r="BA50" s="456" t="s">
        <v>337</v>
      </c>
      <c r="BC50" s="481">
        <f>AW50+AX50</f>
        <v>0</v>
      </c>
      <c r="BD50" s="481">
        <f>G50/(100-BE50)*100</f>
        <v>0</v>
      </c>
      <c r="BE50" s="481">
        <v>0</v>
      </c>
      <c r="BF50" s="481">
        <f>50</f>
        <v>50</v>
      </c>
      <c r="BH50" s="481">
        <f>F50*AO50</f>
        <v>0</v>
      </c>
      <c r="BI50" s="481">
        <f>F50*AP50</f>
        <v>0</v>
      </c>
      <c r="BJ50" s="481">
        <f>F50*G50</f>
        <v>0</v>
      </c>
      <c r="BK50" s="481"/>
      <c r="BL50" s="481">
        <v>27</v>
      </c>
      <c r="BW50" s="481">
        <v>21</v>
      </c>
      <c r="BX50" s="484" t="s">
        <v>438</v>
      </c>
    </row>
    <row r="51" spans="1:76" ht="40.5" customHeight="1" x14ac:dyDescent="0.25">
      <c r="A51" s="485"/>
      <c r="B51" s="486" t="s">
        <v>214</v>
      </c>
      <c r="C51" s="487" t="s">
        <v>1321</v>
      </c>
      <c r="D51" s="488"/>
      <c r="E51" s="488"/>
      <c r="F51" s="488"/>
      <c r="G51" s="488"/>
      <c r="H51" s="488"/>
      <c r="I51" s="488"/>
      <c r="J51" s="488"/>
      <c r="K51" s="489"/>
    </row>
    <row r="52" spans="1:76" x14ac:dyDescent="0.25">
      <c r="A52" s="473" t="s">
        <v>180</v>
      </c>
      <c r="B52" s="474" t="s">
        <v>281</v>
      </c>
      <c r="C52" s="475" t="s">
        <v>282</v>
      </c>
      <c r="D52" s="476"/>
      <c r="E52" s="477" t="s">
        <v>218</v>
      </c>
      <c r="F52" s="477" t="s">
        <v>218</v>
      </c>
      <c r="G52" s="477" t="s">
        <v>218</v>
      </c>
      <c r="H52" s="446">
        <f>SUM(H53:H53)</f>
        <v>0</v>
      </c>
      <c r="I52" s="446">
        <f>SUM(I53:I53)</f>
        <v>0</v>
      </c>
      <c r="J52" s="446">
        <f>SUM(J53:J53)</f>
        <v>0</v>
      </c>
      <c r="K52" s="478" t="s">
        <v>180</v>
      </c>
      <c r="AI52" s="456" t="s">
        <v>334</v>
      </c>
      <c r="AS52" s="446">
        <f>SUM(AJ53:AJ53)</f>
        <v>0</v>
      </c>
      <c r="AT52" s="446">
        <f>SUM(AK53:AK53)</f>
        <v>0</v>
      </c>
      <c r="AU52" s="446">
        <f>SUM(AL53:AL53)</f>
        <v>0</v>
      </c>
    </row>
    <row r="53" spans="1:76" x14ac:dyDescent="0.25">
      <c r="A53" s="479" t="s">
        <v>294</v>
      </c>
      <c r="B53" s="480" t="s">
        <v>284</v>
      </c>
      <c r="C53" s="399" t="s">
        <v>285</v>
      </c>
      <c r="D53" s="395"/>
      <c r="E53" s="480" t="s">
        <v>43</v>
      </c>
      <c r="F53" s="481">
        <v>9.1</v>
      </c>
      <c r="G53" s="504">
        <v>0</v>
      </c>
      <c r="H53" s="481">
        <f>F53*AO53</f>
        <v>0</v>
      </c>
      <c r="I53" s="481">
        <f>F53*AP53</f>
        <v>0</v>
      </c>
      <c r="J53" s="481">
        <f>F53*G53</f>
        <v>0</v>
      </c>
      <c r="K53" s="482" t="s">
        <v>256</v>
      </c>
      <c r="Z53" s="481">
        <f>IF(AQ53="5",BJ53,0)</f>
        <v>0</v>
      </c>
      <c r="AB53" s="481">
        <f>IF(AQ53="1",BH53,0)</f>
        <v>0</v>
      </c>
      <c r="AC53" s="481">
        <f>IF(AQ53="1",BI53,0)</f>
        <v>0</v>
      </c>
      <c r="AD53" s="481">
        <f>IF(AQ53="7",BH53,0)</f>
        <v>0</v>
      </c>
      <c r="AE53" s="481">
        <f>IF(AQ53="7",BI53,0)</f>
        <v>0</v>
      </c>
      <c r="AF53" s="481">
        <f>IF(AQ53="2",BH53,0)</f>
        <v>0</v>
      </c>
      <c r="AG53" s="481">
        <f>IF(AQ53="2",BI53,0)</f>
        <v>0</v>
      </c>
      <c r="AH53" s="481">
        <f>IF(AQ53="0",BJ53,0)</f>
        <v>0</v>
      </c>
      <c r="AI53" s="456" t="s">
        <v>334</v>
      </c>
      <c r="AJ53" s="481">
        <f>IF(AN53=0,J53,0)</f>
        <v>0</v>
      </c>
      <c r="AK53" s="481">
        <f>IF(AN53=15,J53,0)</f>
        <v>0</v>
      </c>
      <c r="AL53" s="481">
        <f>IF(AN53=21,J53,0)</f>
        <v>0</v>
      </c>
      <c r="AN53" s="481">
        <v>21</v>
      </c>
      <c r="AO53" s="481">
        <f>G53*0</f>
        <v>0</v>
      </c>
      <c r="AP53" s="481">
        <f>G53*(1-0)</f>
        <v>0</v>
      </c>
      <c r="AQ53" s="483" t="s">
        <v>264</v>
      </c>
      <c r="AV53" s="481">
        <f>AW53+AX53</f>
        <v>0</v>
      </c>
      <c r="AW53" s="481">
        <f>F53*AO53</f>
        <v>0</v>
      </c>
      <c r="AX53" s="481">
        <f>F53*AP53</f>
        <v>0</v>
      </c>
      <c r="AY53" s="483" t="s">
        <v>286</v>
      </c>
      <c r="AZ53" s="483" t="s">
        <v>354</v>
      </c>
      <c r="BA53" s="456" t="s">
        <v>337</v>
      </c>
      <c r="BC53" s="481">
        <f>AW53+AX53</f>
        <v>0</v>
      </c>
      <c r="BD53" s="481">
        <f>G53/(100-BE53)*100</f>
        <v>0</v>
      </c>
      <c r="BE53" s="481">
        <v>0</v>
      </c>
      <c r="BF53" s="481">
        <f>53</f>
        <v>53</v>
      </c>
      <c r="BH53" s="481">
        <f>F53*AO53</f>
        <v>0</v>
      </c>
      <c r="BI53" s="481">
        <f>F53*AP53</f>
        <v>0</v>
      </c>
      <c r="BJ53" s="481">
        <f>F53*G53</f>
        <v>0</v>
      </c>
      <c r="BK53" s="481"/>
      <c r="BL53" s="481"/>
      <c r="BW53" s="481">
        <v>21</v>
      </c>
      <c r="BX53" s="484" t="s">
        <v>285</v>
      </c>
    </row>
    <row r="54" spans="1:76" x14ac:dyDescent="0.25">
      <c r="A54" s="473" t="s">
        <v>180</v>
      </c>
      <c r="B54" s="474" t="s">
        <v>678</v>
      </c>
      <c r="C54" s="475" t="s">
        <v>203</v>
      </c>
      <c r="D54" s="476"/>
      <c r="E54" s="477" t="s">
        <v>218</v>
      </c>
      <c r="F54" s="477" t="s">
        <v>218</v>
      </c>
      <c r="G54" s="477" t="s">
        <v>218</v>
      </c>
      <c r="H54" s="446">
        <f>SUM(H55:H56)</f>
        <v>0</v>
      </c>
      <c r="I54" s="446">
        <f>SUM(I55:I56)</f>
        <v>0</v>
      </c>
      <c r="J54" s="446">
        <f>SUM(J55:J56)</f>
        <v>0</v>
      </c>
      <c r="K54" s="478" t="s">
        <v>180</v>
      </c>
      <c r="AI54" s="456" t="s">
        <v>334</v>
      </c>
      <c r="AS54" s="446">
        <f>SUM(AJ55:AJ56)</f>
        <v>0</v>
      </c>
      <c r="AT54" s="446">
        <f>SUM(AK55:AK56)</f>
        <v>0</v>
      </c>
      <c r="AU54" s="446">
        <f>SUM(AL55:AL56)</f>
        <v>0</v>
      </c>
    </row>
    <row r="55" spans="1:76" x14ac:dyDescent="0.25">
      <c r="A55" s="479" t="s">
        <v>298</v>
      </c>
      <c r="B55" s="480" t="s">
        <v>440</v>
      </c>
      <c r="C55" s="399" t="s">
        <v>441</v>
      </c>
      <c r="D55" s="395"/>
      <c r="E55" s="480" t="s">
        <v>35</v>
      </c>
      <c r="F55" s="481">
        <v>137</v>
      </c>
      <c r="G55" s="504">
        <v>0</v>
      </c>
      <c r="H55" s="481">
        <f>F55*AO55</f>
        <v>0</v>
      </c>
      <c r="I55" s="481">
        <f>F55*AP55</f>
        <v>0</v>
      </c>
      <c r="J55" s="481">
        <f>F55*G55</f>
        <v>0</v>
      </c>
      <c r="K55" s="482" t="s">
        <v>180</v>
      </c>
      <c r="Z55" s="481">
        <f>IF(AQ55="5",BJ55,0)</f>
        <v>0</v>
      </c>
      <c r="AB55" s="481">
        <f>IF(AQ55="1",BH55,0)</f>
        <v>0</v>
      </c>
      <c r="AC55" s="481">
        <f>IF(AQ55="1",BI55,0)</f>
        <v>0</v>
      </c>
      <c r="AD55" s="481">
        <f>IF(AQ55="7",BH55,0)</f>
        <v>0</v>
      </c>
      <c r="AE55" s="481">
        <f>IF(AQ55="7",BI55,0)</f>
        <v>0</v>
      </c>
      <c r="AF55" s="481">
        <f>IF(AQ55="2",BH55,0)</f>
        <v>0</v>
      </c>
      <c r="AG55" s="481">
        <f>IF(AQ55="2",BI55,0)</f>
        <v>0</v>
      </c>
      <c r="AH55" s="481">
        <f>IF(AQ55="0",BJ55,0)</f>
        <v>0</v>
      </c>
      <c r="AI55" s="456" t="s">
        <v>334</v>
      </c>
      <c r="AJ55" s="481">
        <f>IF(AN55=0,J55,0)</f>
        <v>0</v>
      </c>
      <c r="AK55" s="481">
        <f>IF(AN55=15,J55,0)</f>
        <v>0</v>
      </c>
      <c r="AL55" s="481">
        <f>IF(AN55=21,J55,0)</f>
        <v>0</v>
      </c>
      <c r="AN55" s="481">
        <v>21</v>
      </c>
      <c r="AO55" s="481">
        <f>G55*1</f>
        <v>0</v>
      </c>
      <c r="AP55" s="481">
        <f>G55*(1-1)</f>
        <v>0</v>
      </c>
      <c r="AQ55" s="483" t="s">
        <v>295</v>
      </c>
      <c r="AV55" s="481">
        <f>AW55+AX55</f>
        <v>0</v>
      </c>
      <c r="AW55" s="481">
        <f>F55*AO55</f>
        <v>0</v>
      </c>
      <c r="AX55" s="481">
        <f>F55*AP55</f>
        <v>0</v>
      </c>
      <c r="AY55" s="483" t="s">
        <v>296</v>
      </c>
      <c r="AZ55" s="483" t="s">
        <v>357</v>
      </c>
      <c r="BA55" s="456" t="s">
        <v>337</v>
      </c>
      <c r="BC55" s="481">
        <f>AW55+AX55</f>
        <v>0</v>
      </c>
      <c r="BD55" s="481">
        <f>G55/(100-BE55)*100</f>
        <v>0</v>
      </c>
      <c r="BE55" s="481">
        <v>0</v>
      </c>
      <c r="BF55" s="481">
        <f>55</f>
        <v>55</v>
      </c>
      <c r="BH55" s="481">
        <f>F55*AO55</f>
        <v>0</v>
      </c>
      <c r="BI55" s="481">
        <f>F55*AP55</f>
        <v>0</v>
      </c>
      <c r="BJ55" s="481">
        <f>F55*G55</f>
        <v>0</v>
      </c>
      <c r="BK55" s="481"/>
      <c r="BL55" s="481"/>
      <c r="BW55" s="481">
        <v>21</v>
      </c>
      <c r="BX55" s="484" t="s">
        <v>441</v>
      </c>
    </row>
    <row r="56" spans="1:76" x14ac:dyDescent="0.25">
      <c r="A56" s="479" t="s">
        <v>301</v>
      </c>
      <c r="B56" s="480" t="s">
        <v>442</v>
      </c>
      <c r="C56" s="399" t="s">
        <v>443</v>
      </c>
      <c r="D56" s="395"/>
      <c r="E56" s="480" t="s">
        <v>51</v>
      </c>
      <c r="F56" s="481">
        <v>238</v>
      </c>
      <c r="G56" s="504">
        <v>0</v>
      </c>
      <c r="H56" s="481">
        <f>F56*AO56</f>
        <v>0</v>
      </c>
      <c r="I56" s="481">
        <f>F56*AP56</f>
        <v>0</v>
      </c>
      <c r="J56" s="481">
        <f>F56*G56</f>
        <v>0</v>
      </c>
      <c r="K56" s="482" t="s">
        <v>180</v>
      </c>
      <c r="Z56" s="481">
        <f>IF(AQ56="5",BJ56,0)</f>
        <v>0</v>
      </c>
      <c r="AB56" s="481">
        <f>IF(AQ56="1",BH56,0)</f>
        <v>0</v>
      </c>
      <c r="AC56" s="481">
        <f>IF(AQ56="1",BI56,0)</f>
        <v>0</v>
      </c>
      <c r="AD56" s="481">
        <f>IF(AQ56="7",BH56,0)</f>
        <v>0</v>
      </c>
      <c r="AE56" s="481">
        <f>IF(AQ56="7",BI56,0)</f>
        <v>0</v>
      </c>
      <c r="AF56" s="481">
        <f>IF(AQ56="2",BH56,0)</f>
        <v>0</v>
      </c>
      <c r="AG56" s="481">
        <f>IF(AQ56="2",BI56,0)</f>
        <v>0</v>
      </c>
      <c r="AH56" s="481">
        <f>IF(AQ56="0",BJ56,0)</f>
        <v>0</v>
      </c>
      <c r="AI56" s="456" t="s">
        <v>334</v>
      </c>
      <c r="AJ56" s="481">
        <f>IF(AN56=0,J56,0)</f>
        <v>0</v>
      </c>
      <c r="AK56" s="481">
        <f>IF(AN56=15,J56,0)</f>
        <v>0</v>
      </c>
      <c r="AL56" s="481">
        <f>IF(AN56=21,J56,0)</f>
        <v>0</v>
      </c>
      <c r="AN56" s="481">
        <v>21</v>
      </c>
      <c r="AO56" s="481">
        <f>G56*1</f>
        <v>0</v>
      </c>
      <c r="AP56" s="481">
        <f>G56*(1-1)</f>
        <v>0</v>
      </c>
      <c r="AQ56" s="483" t="s">
        <v>295</v>
      </c>
      <c r="AV56" s="481">
        <f>AW56+AX56</f>
        <v>0</v>
      </c>
      <c r="AW56" s="481">
        <f>F56*AO56</f>
        <v>0</v>
      </c>
      <c r="AX56" s="481">
        <f>F56*AP56</f>
        <v>0</v>
      </c>
      <c r="AY56" s="483" t="s">
        <v>296</v>
      </c>
      <c r="AZ56" s="483" t="s">
        <v>357</v>
      </c>
      <c r="BA56" s="456" t="s">
        <v>337</v>
      </c>
      <c r="BC56" s="481">
        <f>AW56+AX56</f>
        <v>0</v>
      </c>
      <c r="BD56" s="481">
        <f>G56/(100-BE56)*100</f>
        <v>0</v>
      </c>
      <c r="BE56" s="481">
        <v>0</v>
      </c>
      <c r="BF56" s="481">
        <f>56</f>
        <v>56</v>
      </c>
      <c r="BH56" s="481">
        <f>F56*AO56</f>
        <v>0</v>
      </c>
      <c r="BI56" s="481">
        <f>F56*AP56</f>
        <v>0</v>
      </c>
      <c r="BJ56" s="481">
        <f>F56*G56</f>
        <v>0</v>
      </c>
      <c r="BK56" s="481"/>
      <c r="BL56" s="481"/>
      <c r="BW56" s="481">
        <v>21</v>
      </c>
      <c r="BX56" s="484" t="s">
        <v>443</v>
      </c>
    </row>
    <row r="57" spans="1:76" ht="13.5" customHeight="1" x14ac:dyDescent="0.25">
      <c r="A57" s="485"/>
      <c r="B57" s="486" t="s">
        <v>214</v>
      </c>
      <c r="C57" s="487" t="s">
        <v>444</v>
      </c>
      <c r="D57" s="488"/>
      <c r="E57" s="488"/>
      <c r="F57" s="488"/>
      <c r="G57" s="488"/>
      <c r="H57" s="488"/>
      <c r="I57" s="488"/>
      <c r="J57" s="488"/>
      <c r="K57" s="489"/>
    </row>
    <row r="58" spans="1:76" x14ac:dyDescent="0.25">
      <c r="A58" s="466" t="s">
        <v>180</v>
      </c>
      <c r="B58" s="467" t="s">
        <v>180</v>
      </c>
      <c r="C58" s="468" t="s">
        <v>445</v>
      </c>
      <c r="D58" s="469"/>
      <c r="E58" s="470" t="s">
        <v>218</v>
      </c>
      <c r="F58" s="470" t="s">
        <v>218</v>
      </c>
      <c r="G58" s="470" t="s">
        <v>218</v>
      </c>
      <c r="H58" s="471">
        <f>H59+H61+H67+H72+H76+H78+H82+H84</f>
        <v>0</v>
      </c>
      <c r="I58" s="471">
        <f>I59+I61+I67+I72+I76+I78+I82+I84</f>
        <v>0</v>
      </c>
      <c r="J58" s="471">
        <f>J59+J61+J67+J72+J76+J78+J82+J84</f>
        <v>0</v>
      </c>
      <c r="K58" s="472" t="s">
        <v>180</v>
      </c>
    </row>
    <row r="59" spans="1:76" x14ac:dyDescent="0.25">
      <c r="A59" s="473" t="s">
        <v>180</v>
      </c>
      <c r="B59" s="474" t="s">
        <v>251</v>
      </c>
      <c r="C59" s="475" t="s">
        <v>252</v>
      </c>
      <c r="D59" s="476"/>
      <c r="E59" s="477" t="s">
        <v>218</v>
      </c>
      <c r="F59" s="477" t="s">
        <v>218</v>
      </c>
      <c r="G59" s="477" t="s">
        <v>218</v>
      </c>
      <c r="H59" s="446">
        <f>SUM(H60:H60)</f>
        <v>0</v>
      </c>
      <c r="I59" s="446">
        <f>SUM(I60:I60)</f>
        <v>0</v>
      </c>
      <c r="J59" s="446">
        <f>SUM(J60:J60)</f>
        <v>0</v>
      </c>
      <c r="K59" s="478" t="s">
        <v>180</v>
      </c>
      <c r="AI59" s="456" t="s">
        <v>365</v>
      </c>
      <c r="AS59" s="446">
        <f>SUM(AJ60:AJ60)</f>
        <v>0</v>
      </c>
      <c r="AT59" s="446">
        <f>SUM(AK60:AK60)</f>
        <v>0</v>
      </c>
      <c r="AU59" s="446">
        <f>SUM(AL60:AL60)</f>
        <v>0</v>
      </c>
    </row>
    <row r="60" spans="1:76" x14ac:dyDescent="0.25">
      <c r="A60" s="479" t="s">
        <v>304</v>
      </c>
      <c r="B60" s="480" t="s">
        <v>446</v>
      </c>
      <c r="C60" s="399" t="s">
        <v>447</v>
      </c>
      <c r="D60" s="395"/>
      <c r="E60" s="480" t="s">
        <v>51</v>
      </c>
      <c r="F60" s="481">
        <v>1</v>
      </c>
      <c r="G60" s="504">
        <v>0</v>
      </c>
      <c r="H60" s="481">
        <f>F60*AO60</f>
        <v>0</v>
      </c>
      <c r="I60" s="481">
        <f>F60*AP60</f>
        <v>0</v>
      </c>
      <c r="J60" s="481">
        <f>F60*G60</f>
        <v>0</v>
      </c>
      <c r="K60" s="482" t="s">
        <v>180</v>
      </c>
      <c r="Z60" s="481">
        <f>IF(AQ60="5",BJ60,0)</f>
        <v>0</v>
      </c>
      <c r="AB60" s="481">
        <f>IF(AQ60="1",BH60,0)</f>
        <v>0</v>
      </c>
      <c r="AC60" s="481">
        <f>IF(AQ60="1",BI60,0)</f>
        <v>0</v>
      </c>
      <c r="AD60" s="481">
        <f>IF(AQ60="7",BH60,0)</f>
        <v>0</v>
      </c>
      <c r="AE60" s="481">
        <f>IF(AQ60="7",BI60,0)</f>
        <v>0</v>
      </c>
      <c r="AF60" s="481">
        <f>IF(AQ60="2",BH60,0)</f>
        <v>0</v>
      </c>
      <c r="AG60" s="481">
        <f>IF(AQ60="2",BI60,0)</f>
        <v>0</v>
      </c>
      <c r="AH60" s="481">
        <f>IF(AQ60="0",BJ60,0)</f>
        <v>0</v>
      </c>
      <c r="AI60" s="456" t="s">
        <v>365</v>
      </c>
      <c r="AJ60" s="481">
        <f>IF(AN60=0,J60,0)</f>
        <v>0</v>
      </c>
      <c r="AK60" s="481">
        <f>IF(AN60=15,J60,0)</f>
        <v>0</v>
      </c>
      <c r="AL60" s="481">
        <f>IF(AN60=21,J60,0)</f>
        <v>0</v>
      </c>
      <c r="AN60" s="481">
        <v>21</v>
      </c>
      <c r="AO60" s="481">
        <f>G60*0</f>
        <v>0</v>
      </c>
      <c r="AP60" s="481">
        <f>G60*(1-0)</f>
        <v>0</v>
      </c>
      <c r="AQ60" s="483" t="s">
        <v>254</v>
      </c>
      <c r="AV60" s="481">
        <f>AW60+AX60</f>
        <v>0</v>
      </c>
      <c r="AW60" s="481">
        <f>F60*AO60</f>
        <v>0</v>
      </c>
      <c r="AX60" s="481">
        <f>F60*AP60</f>
        <v>0</v>
      </c>
      <c r="AY60" s="483" t="s">
        <v>257</v>
      </c>
      <c r="AZ60" s="483" t="s">
        <v>367</v>
      </c>
      <c r="BA60" s="456" t="s">
        <v>368</v>
      </c>
      <c r="BC60" s="481">
        <f>AW60+AX60</f>
        <v>0</v>
      </c>
      <c r="BD60" s="481">
        <f>G60/(100-BE60)*100</f>
        <v>0</v>
      </c>
      <c r="BE60" s="481">
        <v>0</v>
      </c>
      <c r="BF60" s="481">
        <f>60</f>
        <v>60</v>
      </c>
      <c r="BH60" s="481">
        <f>F60*AO60</f>
        <v>0</v>
      </c>
      <c r="BI60" s="481">
        <f>F60*AP60</f>
        <v>0</v>
      </c>
      <c r="BJ60" s="481">
        <f>F60*G60</f>
        <v>0</v>
      </c>
      <c r="BK60" s="481"/>
      <c r="BL60" s="481">
        <v>11</v>
      </c>
      <c r="BW60" s="481">
        <v>21</v>
      </c>
      <c r="BX60" s="484" t="s">
        <v>447</v>
      </c>
    </row>
    <row r="61" spans="1:76" x14ac:dyDescent="0.25">
      <c r="A61" s="473" t="s">
        <v>180</v>
      </c>
      <c r="B61" s="474" t="s">
        <v>273</v>
      </c>
      <c r="C61" s="475" t="s">
        <v>372</v>
      </c>
      <c r="D61" s="476"/>
      <c r="E61" s="477" t="s">
        <v>218</v>
      </c>
      <c r="F61" s="477" t="s">
        <v>218</v>
      </c>
      <c r="G61" s="477" t="s">
        <v>218</v>
      </c>
      <c r="H61" s="446">
        <f>SUM(H62:H66)</f>
        <v>0</v>
      </c>
      <c r="I61" s="446">
        <f>SUM(I62:I66)</f>
        <v>0</v>
      </c>
      <c r="J61" s="446">
        <f>SUM(J62:J66)</f>
        <v>0</v>
      </c>
      <c r="K61" s="478" t="s">
        <v>180</v>
      </c>
      <c r="AI61" s="456" t="s">
        <v>365</v>
      </c>
      <c r="AS61" s="446">
        <f>SUM(AJ62:AJ66)</f>
        <v>0</v>
      </c>
      <c r="AT61" s="446">
        <f>SUM(AK62:AK66)</f>
        <v>0</v>
      </c>
      <c r="AU61" s="446">
        <f>SUM(AL62:AL66)</f>
        <v>0</v>
      </c>
    </row>
    <row r="62" spans="1:76" x14ac:dyDescent="0.25">
      <c r="A62" s="479" t="s">
        <v>306</v>
      </c>
      <c r="B62" s="480" t="s">
        <v>339</v>
      </c>
      <c r="C62" s="399" t="s">
        <v>448</v>
      </c>
      <c r="D62" s="395"/>
      <c r="E62" s="480" t="s">
        <v>291</v>
      </c>
      <c r="F62" s="481">
        <v>346</v>
      </c>
      <c r="G62" s="504">
        <v>0</v>
      </c>
      <c r="H62" s="481">
        <f>F62*AO62</f>
        <v>0</v>
      </c>
      <c r="I62" s="481">
        <f>F62*AP62</f>
        <v>0</v>
      </c>
      <c r="J62" s="481">
        <f>F62*G62</f>
        <v>0</v>
      </c>
      <c r="K62" s="482" t="s">
        <v>312</v>
      </c>
      <c r="Z62" s="481">
        <f>IF(AQ62="5",BJ62,0)</f>
        <v>0</v>
      </c>
      <c r="AB62" s="481">
        <f>IF(AQ62="1",BH62,0)</f>
        <v>0</v>
      </c>
      <c r="AC62" s="481">
        <f>IF(AQ62="1",BI62,0)</f>
        <v>0</v>
      </c>
      <c r="AD62" s="481">
        <f>IF(AQ62="7",BH62,0)</f>
        <v>0</v>
      </c>
      <c r="AE62" s="481">
        <f>IF(AQ62="7",BI62,0)</f>
        <v>0</v>
      </c>
      <c r="AF62" s="481">
        <f>IF(AQ62="2",BH62,0)</f>
        <v>0</v>
      </c>
      <c r="AG62" s="481">
        <f>IF(AQ62="2",BI62,0)</f>
        <v>0</v>
      </c>
      <c r="AH62" s="481">
        <f>IF(AQ62="0",BJ62,0)</f>
        <v>0</v>
      </c>
      <c r="AI62" s="456" t="s">
        <v>365</v>
      </c>
      <c r="AJ62" s="481">
        <f>IF(AN62=0,J62,0)</f>
        <v>0</v>
      </c>
      <c r="AK62" s="481">
        <f>IF(AN62=15,J62,0)</f>
        <v>0</v>
      </c>
      <c r="AL62" s="481">
        <f>IF(AN62=21,J62,0)</f>
        <v>0</v>
      </c>
      <c r="AN62" s="481">
        <v>21</v>
      </c>
      <c r="AO62" s="481">
        <f>G62*0</f>
        <v>0</v>
      </c>
      <c r="AP62" s="481">
        <f>G62*(1-0)</f>
        <v>0</v>
      </c>
      <c r="AQ62" s="483" t="s">
        <v>254</v>
      </c>
      <c r="AV62" s="481">
        <f>AW62+AX62</f>
        <v>0</v>
      </c>
      <c r="AW62" s="481">
        <f>F62*AO62</f>
        <v>0</v>
      </c>
      <c r="AX62" s="481">
        <f>F62*AP62</f>
        <v>0</v>
      </c>
      <c r="AY62" s="483" t="s">
        <v>374</v>
      </c>
      <c r="AZ62" s="483" t="s">
        <v>367</v>
      </c>
      <c r="BA62" s="456" t="s">
        <v>368</v>
      </c>
      <c r="BC62" s="481">
        <f>AW62+AX62</f>
        <v>0</v>
      </c>
      <c r="BD62" s="481">
        <f>G62/(100-BE62)*100</f>
        <v>0</v>
      </c>
      <c r="BE62" s="481">
        <v>0</v>
      </c>
      <c r="BF62" s="481">
        <f>62</f>
        <v>62</v>
      </c>
      <c r="BH62" s="481">
        <f>F62*AO62</f>
        <v>0</v>
      </c>
      <c r="BI62" s="481">
        <f>F62*AP62</f>
        <v>0</v>
      </c>
      <c r="BJ62" s="481">
        <f>F62*G62</f>
        <v>0</v>
      </c>
      <c r="BK62" s="481"/>
      <c r="BL62" s="481">
        <v>12</v>
      </c>
      <c r="BW62" s="481">
        <v>21</v>
      </c>
      <c r="BX62" s="484" t="s">
        <v>448</v>
      </c>
    </row>
    <row r="63" spans="1:76" ht="13.5" customHeight="1" x14ac:dyDescent="0.25">
      <c r="A63" s="485"/>
      <c r="B63" s="486" t="s">
        <v>214</v>
      </c>
      <c r="C63" s="487" t="s">
        <v>449</v>
      </c>
      <c r="D63" s="488"/>
      <c r="E63" s="488"/>
      <c r="F63" s="488"/>
      <c r="G63" s="488"/>
      <c r="H63" s="488"/>
      <c r="I63" s="488"/>
      <c r="J63" s="488"/>
      <c r="K63" s="489"/>
    </row>
    <row r="64" spans="1:76" x14ac:dyDescent="0.25">
      <c r="A64" s="479" t="s">
        <v>307</v>
      </c>
      <c r="B64" s="480" t="s">
        <v>346</v>
      </c>
      <c r="C64" s="399" t="s">
        <v>418</v>
      </c>
      <c r="D64" s="395"/>
      <c r="E64" s="480" t="s">
        <v>255</v>
      </c>
      <c r="F64" s="481">
        <v>1173</v>
      </c>
      <c r="G64" s="504">
        <v>0</v>
      </c>
      <c r="H64" s="481">
        <f>F64*AO64</f>
        <v>0</v>
      </c>
      <c r="I64" s="481">
        <f>F64*AP64</f>
        <v>0</v>
      </c>
      <c r="J64" s="481">
        <f>F64*G64</f>
        <v>0</v>
      </c>
      <c r="K64" s="482" t="s">
        <v>256</v>
      </c>
      <c r="Z64" s="481">
        <f>IF(AQ64="5",BJ64,0)</f>
        <v>0</v>
      </c>
      <c r="AB64" s="481">
        <f>IF(AQ64="1",BH64,0)</f>
        <v>0</v>
      </c>
      <c r="AC64" s="481">
        <f>IF(AQ64="1",BI64,0)</f>
        <v>0</v>
      </c>
      <c r="AD64" s="481">
        <f>IF(AQ64="7",BH64,0)</f>
        <v>0</v>
      </c>
      <c r="AE64" s="481">
        <f>IF(AQ64="7",BI64,0)</f>
        <v>0</v>
      </c>
      <c r="AF64" s="481">
        <f>IF(AQ64="2",BH64,0)</f>
        <v>0</v>
      </c>
      <c r="AG64" s="481">
        <f>IF(AQ64="2",BI64,0)</f>
        <v>0</v>
      </c>
      <c r="AH64" s="481">
        <f>IF(AQ64="0",BJ64,0)</f>
        <v>0</v>
      </c>
      <c r="AI64" s="456" t="s">
        <v>365</v>
      </c>
      <c r="AJ64" s="481">
        <f>IF(AN64=0,J64,0)</f>
        <v>0</v>
      </c>
      <c r="AK64" s="481">
        <f>IF(AN64=15,J64,0)</f>
        <v>0</v>
      </c>
      <c r="AL64" s="481">
        <f>IF(AN64=21,J64,0)</f>
        <v>0</v>
      </c>
      <c r="AN64" s="481">
        <v>21</v>
      </c>
      <c r="AO64" s="481">
        <f>G64*0</f>
        <v>0</v>
      </c>
      <c r="AP64" s="481">
        <f>G64*(1-0)</f>
        <v>0</v>
      </c>
      <c r="AQ64" s="483" t="s">
        <v>254</v>
      </c>
      <c r="AV64" s="481">
        <f>AW64+AX64</f>
        <v>0</v>
      </c>
      <c r="AW64" s="481">
        <f>F64*AO64</f>
        <v>0</v>
      </c>
      <c r="AX64" s="481">
        <f>F64*AP64</f>
        <v>0</v>
      </c>
      <c r="AY64" s="483" t="s">
        <v>374</v>
      </c>
      <c r="AZ64" s="483" t="s">
        <v>367</v>
      </c>
      <c r="BA64" s="456" t="s">
        <v>368</v>
      </c>
      <c r="BC64" s="481">
        <f>AW64+AX64</f>
        <v>0</v>
      </c>
      <c r="BD64" s="481">
        <f>G64/(100-BE64)*100</f>
        <v>0</v>
      </c>
      <c r="BE64" s="481">
        <v>0</v>
      </c>
      <c r="BF64" s="481">
        <f>64</f>
        <v>64</v>
      </c>
      <c r="BH64" s="481">
        <f>F64*AO64</f>
        <v>0</v>
      </c>
      <c r="BI64" s="481">
        <f>F64*AP64</f>
        <v>0</v>
      </c>
      <c r="BJ64" s="481">
        <f>F64*G64</f>
        <v>0</v>
      </c>
      <c r="BK64" s="481"/>
      <c r="BL64" s="481">
        <v>12</v>
      </c>
      <c r="BW64" s="481">
        <v>21</v>
      </c>
      <c r="BX64" s="484" t="s">
        <v>418</v>
      </c>
    </row>
    <row r="65" spans="1:76" x14ac:dyDescent="0.25">
      <c r="A65" s="479" t="s">
        <v>308</v>
      </c>
      <c r="B65" s="480" t="s">
        <v>376</v>
      </c>
      <c r="C65" s="399" t="s">
        <v>450</v>
      </c>
      <c r="D65" s="395"/>
      <c r="E65" s="480" t="s">
        <v>255</v>
      </c>
      <c r="F65" s="481">
        <v>779</v>
      </c>
      <c r="G65" s="504">
        <v>0</v>
      </c>
      <c r="H65" s="481">
        <f>F65*AO65</f>
        <v>0</v>
      </c>
      <c r="I65" s="481">
        <f>F65*AP65</f>
        <v>0</v>
      </c>
      <c r="J65" s="481">
        <f>F65*G65</f>
        <v>0</v>
      </c>
      <c r="K65" s="482" t="s">
        <v>312</v>
      </c>
      <c r="Z65" s="481">
        <f>IF(AQ65="5",BJ65,0)</f>
        <v>0</v>
      </c>
      <c r="AB65" s="481">
        <f>IF(AQ65="1",BH65,0)</f>
        <v>0</v>
      </c>
      <c r="AC65" s="481">
        <f>IF(AQ65="1",BI65,0)</f>
        <v>0</v>
      </c>
      <c r="AD65" s="481">
        <f>IF(AQ65="7",BH65,0)</f>
        <v>0</v>
      </c>
      <c r="AE65" s="481">
        <f>IF(AQ65="7",BI65,0)</f>
        <v>0</v>
      </c>
      <c r="AF65" s="481">
        <f>IF(AQ65="2",BH65,0)</f>
        <v>0</v>
      </c>
      <c r="AG65" s="481">
        <f>IF(AQ65="2",BI65,0)</f>
        <v>0</v>
      </c>
      <c r="AH65" s="481">
        <f>IF(AQ65="0",BJ65,0)</f>
        <v>0</v>
      </c>
      <c r="AI65" s="456" t="s">
        <v>365</v>
      </c>
      <c r="AJ65" s="481">
        <f>IF(AN65=0,J65,0)</f>
        <v>0</v>
      </c>
      <c r="AK65" s="481">
        <f>IF(AN65=15,J65,0)</f>
        <v>0</v>
      </c>
      <c r="AL65" s="481">
        <f>IF(AN65=21,J65,0)</f>
        <v>0</v>
      </c>
      <c r="AN65" s="481">
        <v>21</v>
      </c>
      <c r="AO65" s="481">
        <f>G65*0</f>
        <v>0</v>
      </c>
      <c r="AP65" s="481">
        <f>G65*(1-0)</f>
        <v>0</v>
      </c>
      <c r="AQ65" s="483" t="s">
        <v>254</v>
      </c>
      <c r="AV65" s="481">
        <f>AW65+AX65</f>
        <v>0</v>
      </c>
      <c r="AW65" s="481">
        <f>F65*AO65</f>
        <v>0</v>
      </c>
      <c r="AX65" s="481">
        <f>F65*AP65</f>
        <v>0</v>
      </c>
      <c r="AY65" s="483" t="s">
        <v>374</v>
      </c>
      <c r="AZ65" s="483" t="s">
        <v>367</v>
      </c>
      <c r="BA65" s="456" t="s">
        <v>368</v>
      </c>
      <c r="BC65" s="481">
        <f>AW65+AX65</f>
        <v>0</v>
      </c>
      <c r="BD65" s="481">
        <f>G65/(100-BE65)*100</f>
        <v>0</v>
      </c>
      <c r="BE65" s="481">
        <v>0</v>
      </c>
      <c r="BF65" s="481">
        <f>65</f>
        <v>65</v>
      </c>
      <c r="BH65" s="481">
        <f>F65*AO65</f>
        <v>0</v>
      </c>
      <c r="BI65" s="481">
        <f>F65*AP65</f>
        <v>0</v>
      </c>
      <c r="BJ65" s="481">
        <f>F65*G65</f>
        <v>0</v>
      </c>
      <c r="BK65" s="481"/>
      <c r="BL65" s="481">
        <v>12</v>
      </c>
      <c r="BW65" s="481">
        <v>21</v>
      </c>
      <c r="BX65" s="484" t="s">
        <v>450</v>
      </c>
    </row>
    <row r="66" spans="1:76" x14ac:dyDescent="0.25">
      <c r="A66" s="479" t="s">
        <v>309</v>
      </c>
      <c r="B66" s="480" t="s">
        <v>379</v>
      </c>
      <c r="C66" s="399" t="s">
        <v>380</v>
      </c>
      <c r="D66" s="395"/>
      <c r="E66" s="480" t="s">
        <v>255</v>
      </c>
      <c r="F66" s="481">
        <v>779</v>
      </c>
      <c r="G66" s="504">
        <v>0</v>
      </c>
      <c r="H66" s="481">
        <f>F66*AO66</f>
        <v>0</v>
      </c>
      <c r="I66" s="481">
        <f>F66*AP66</f>
        <v>0</v>
      </c>
      <c r="J66" s="481">
        <f>F66*G66</f>
        <v>0</v>
      </c>
      <c r="K66" s="482" t="s">
        <v>256</v>
      </c>
      <c r="Z66" s="481">
        <f>IF(AQ66="5",BJ66,0)</f>
        <v>0</v>
      </c>
      <c r="AB66" s="481">
        <f>IF(AQ66="1",BH66,0)</f>
        <v>0</v>
      </c>
      <c r="AC66" s="481">
        <f>IF(AQ66="1",BI66,0)</f>
        <v>0</v>
      </c>
      <c r="AD66" s="481">
        <f>IF(AQ66="7",BH66,0)</f>
        <v>0</v>
      </c>
      <c r="AE66" s="481">
        <f>IF(AQ66="7",BI66,0)</f>
        <v>0</v>
      </c>
      <c r="AF66" s="481">
        <f>IF(AQ66="2",BH66,0)</f>
        <v>0</v>
      </c>
      <c r="AG66" s="481">
        <f>IF(AQ66="2",BI66,0)</f>
        <v>0</v>
      </c>
      <c r="AH66" s="481">
        <f>IF(AQ66="0",BJ66,0)</f>
        <v>0</v>
      </c>
      <c r="AI66" s="456" t="s">
        <v>365</v>
      </c>
      <c r="AJ66" s="481">
        <f>IF(AN66=0,J66,0)</f>
        <v>0</v>
      </c>
      <c r="AK66" s="481">
        <f>IF(AN66=15,J66,0)</f>
        <v>0</v>
      </c>
      <c r="AL66" s="481">
        <f>IF(AN66=21,J66,0)</f>
        <v>0</v>
      </c>
      <c r="AN66" s="481">
        <v>21</v>
      </c>
      <c r="AO66" s="481">
        <f>G66*0</f>
        <v>0</v>
      </c>
      <c r="AP66" s="481">
        <f>G66*(1-0)</f>
        <v>0</v>
      </c>
      <c r="AQ66" s="483" t="s">
        <v>254</v>
      </c>
      <c r="AV66" s="481">
        <f>AW66+AX66</f>
        <v>0</v>
      </c>
      <c r="AW66" s="481">
        <f>F66*AO66</f>
        <v>0</v>
      </c>
      <c r="AX66" s="481">
        <f>F66*AP66</f>
        <v>0</v>
      </c>
      <c r="AY66" s="483" t="s">
        <v>374</v>
      </c>
      <c r="AZ66" s="483" t="s">
        <v>367</v>
      </c>
      <c r="BA66" s="456" t="s">
        <v>368</v>
      </c>
      <c r="BC66" s="481">
        <f>AW66+AX66</f>
        <v>0</v>
      </c>
      <c r="BD66" s="481">
        <f>G66/(100-BE66)*100</f>
        <v>0</v>
      </c>
      <c r="BE66" s="481">
        <v>0</v>
      </c>
      <c r="BF66" s="481">
        <f>66</f>
        <v>66</v>
      </c>
      <c r="BH66" s="481">
        <f>F66*AO66</f>
        <v>0</v>
      </c>
      <c r="BI66" s="481">
        <f>F66*AP66</f>
        <v>0</v>
      </c>
      <c r="BJ66" s="481">
        <f>F66*G66</f>
        <v>0</v>
      </c>
      <c r="BK66" s="481"/>
      <c r="BL66" s="481">
        <v>12</v>
      </c>
      <c r="BW66" s="481">
        <v>21</v>
      </c>
      <c r="BX66" s="484" t="s">
        <v>380</v>
      </c>
    </row>
    <row r="67" spans="1:76" x14ac:dyDescent="0.25">
      <c r="A67" s="473" t="s">
        <v>180</v>
      </c>
      <c r="B67" s="474" t="s">
        <v>269</v>
      </c>
      <c r="C67" s="475" t="s">
        <v>270</v>
      </c>
      <c r="D67" s="476"/>
      <c r="E67" s="477" t="s">
        <v>218</v>
      </c>
      <c r="F67" s="477" t="s">
        <v>218</v>
      </c>
      <c r="G67" s="477" t="s">
        <v>218</v>
      </c>
      <c r="H67" s="446">
        <f>SUM(H68:H71)</f>
        <v>0</v>
      </c>
      <c r="I67" s="446">
        <f>SUM(I68:I71)</f>
        <v>0</v>
      </c>
      <c r="J67" s="446">
        <f>SUM(J68:J71)</f>
        <v>0</v>
      </c>
      <c r="K67" s="478" t="s">
        <v>180</v>
      </c>
      <c r="AI67" s="456" t="s">
        <v>365</v>
      </c>
      <c r="AS67" s="446">
        <f>SUM(AJ68:AJ71)</f>
        <v>0</v>
      </c>
      <c r="AT67" s="446">
        <f>SUM(AK68:AK71)</f>
        <v>0</v>
      </c>
      <c r="AU67" s="446">
        <f>SUM(AL68:AL71)</f>
        <v>0</v>
      </c>
    </row>
    <row r="68" spans="1:76" ht="25.5" x14ac:dyDescent="0.25">
      <c r="A68" s="479" t="s">
        <v>310</v>
      </c>
      <c r="B68" s="480" t="s">
        <v>451</v>
      </c>
      <c r="C68" s="399" t="s">
        <v>452</v>
      </c>
      <c r="D68" s="395"/>
      <c r="E68" s="480" t="s">
        <v>255</v>
      </c>
      <c r="F68" s="481">
        <v>278</v>
      </c>
      <c r="G68" s="504">
        <v>0</v>
      </c>
      <c r="H68" s="481">
        <f>F68*AO68</f>
        <v>0</v>
      </c>
      <c r="I68" s="481">
        <f>F68*AP68</f>
        <v>0</v>
      </c>
      <c r="J68" s="481">
        <f>F68*G68</f>
        <v>0</v>
      </c>
      <c r="K68" s="482" t="s">
        <v>312</v>
      </c>
      <c r="Z68" s="481">
        <f>IF(AQ68="5",BJ68,0)</f>
        <v>0</v>
      </c>
      <c r="AB68" s="481">
        <f>IF(AQ68="1",BH68,0)</f>
        <v>0</v>
      </c>
      <c r="AC68" s="481">
        <f>IF(AQ68="1",BI68,0)</f>
        <v>0</v>
      </c>
      <c r="AD68" s="481">
        <f>IF(AQ68="7",BH68,0)</f>
        <v>0</v>
      </c>
      <c r="AE68" s="481">
        <f>IF(AQ68="7",BI68,0)</f>
        <v>0</v>
      </c>
      <c r="AF68" s="481">
        <f>IF(AQ68="2",BH68,0)</f>
        <v>0</v>
      </c>
      <c r="AG68" s="481">
        <f>IF(AQ68="2",BI68,0)</f>
        <v>0</v>
      </c>
      <c r="AH68" s="481">
        <f>IF(AQ68="0",BJ68,0)</f>
        <v>0</v>
      </c>
      <c r="AI68" s="456" t="s">
        <v>365</v>
      </c>
      <c r="AJ68" s="481">
        <f>IF(AN68=0,J68,0)</f>
        <v>0</v>
      </c>
      <c r="AK68" s="481">
        <f>IF(AN68=15,J68,0)</f>
        <v>0</v>
      </c>
      <c r="AL68" s="481">
        <f>IF(AN68=21,J68,0)</f>
        <v>0</v>
      </c>
      <c r="AN68" s="481">
        <v>21</v>
      </c>
      <c r="AO68" s="481">
        <f>G68*0</f>
        <v>0</v>
      </c>
      <c r="AP68" s="481">
        <f>G68*(1-0)</f>
        <v>0</v>
      </c>
      <c r="AQ68" s="483" t="s">
        <v>254</v>
      </c>
      <c r="AV68" s="481">
        <f>AW68+AX68</f>
        <v>0</v>
      </c>
      <c r="AW68" s="481">
        <f>F68*AO68</f>
        <v>0</v>
      </c>
      <c r="AX68" s="481">
        <f>F68*AP68</f>
        <v>0</v>
      </c>
      <c r="AY68" s="483" t="s">
        <v>272</v>
      </c>
      <c r="AZ68" s="483" t="s">
        <v>367</v>
      </c>
      <c r="BA68" s="456" t="s">
        <v>368</v>
      </c>
      <c r="BC68" s="481">
        <f>AW68+AX68</f>
        <v>0</v>
      </c>
      <c r="BD68" s="481">
        <f>G68/(100-BE68)*100</f>
        <v>0</v>
      </c>
      <c r="BE68" s="481">
        <v>0</v>
      </c>
      <c r="BF68" s="481">
        <f>68</f>
        <v>68</v>
      </c>
      <c r="BH68" s="481">
        <f>F68*AO68</f>
        <v>0</v>
      </c>
      <c r="BI68" s="481">
        <f>F68*AP68</f>
        <v>0</v>
      </c>
      <c r="BJ68" s="481">
        <f>F68*G68</f>
        <v>0</v>
      </c>
      <c r="BK68" s="481"/>
      <c r="BL68" s="481">
        <v>16</v>
      </c>
      <c r="BW68" s="481">
        <v>21</v>
      </c>
      <c r="BX68" s="484" t="s">
        <v>452</v>
      </c>
    </row>
    <row r="69" spans="1:76" x14ac:dyDescent="0.25">
      <c r="A69" s="479" t="s">
        <v>313</v>
      </c>
      <c r="B69" s="480" t="s">
        <v>422</v>
      </c>
      <c r="C69" s="399" t="s">
        <v>423</v>
      </c>
      <c r="D69" s="395"/>
      <c r="E69" s="480" t="s">
        <v>291</v>
      </c>
      <c r="F69" s="481">
        <v>346</v>
      </c>
      <c r="G69" s="504">
        <v>0</v>
      </c>
      <c r="H69" s="481">
        <f>F69*AO69</f>
        <v>0</v>
      </c>
      <c r="I69" s="481">
        <f>F69*AP69</f>
        <v>0</v>
      </c>
      <c r="J69" s="481">
        <f>F69*G69</f>
        <v>0</v>
      </c>
      <c r="K69" s="482" t="s">
        <v>256</v>
      </c>
      <c r="Z69" s="481">
        <f>IF(AQ69="5",BJ69,0)</f>
        <v>0</v>
      </c>
      <c r="AB69" s="481">
        <f>IF(AQ69="1",BH69,0)</f>
        <v>0</v>
      </c>
      <c r="AC69" s="481">
        <f>IF(AQ69="1",BI69,0)</f>
        <v>0</v>
      </c>
      <c r="AD69" s="481">
        <f>IF(AQ69="7",BH69,0)</f>
        <v>0</v>
      </c>
      <c r="AE69" s="481">
        <f>IF(AQ69="7",BI69,0)</f>
        <v>0</v>
      </c>
      <c r="AF69" s="481">
        <f>IF(AQ69="2",BH69,0)</f>
        <v>0</v>
      </c>
      <c r="AG69" s="481">
        <f>IF(AQ69="2",BI69,0)</f>
        <v>0</v>
      </c>
      <c r="AH69" s="481">
        <f>IF(AQ69="0",BJ69,0)</f>
        <v>0</v>
      </c>
      <c r="AI69" s="456" t="s">
        <v>365</v>
      </c>
      <c r="AJ69" s="481">
        <f>IF(AN69=0,J69,0)</f>
        <v>0</v>
      </c>
      <c r="AK69" s="481">
        <f>IF(AN69=15,J69,0)</f>
        <v>0</v>
      </c>
      <c r="AL69" s="481">
        <f>IF(AN69=21,J69,0)</f>
        <v>0</v>
      </c>
      <c r="AN69" s="481">
        <v>21</v>
      </c>
      <c r="AO69" s="481">
        <f>G69*0</f>
        <v>0</v>
      </c>
      <c r="AP69" s="481">
        <f>G69*(1-0)</f>
        <v>0</v>
      </c>
      <c r="AQ69" s="483" t="s">
        <v>254</v>
      </c>
      <c r="AV69" s="481">
        <f>AW69+AX69</f>
        <v>0</v>
      </c>
      <c r="AW69" s="481">
        <f>F69*AO69</f>
        <v>0</v>
      </c>
      <c r="AX69" s="481">
        <f>F69*AP69</f>
        <v>0</v>
      </c>
      <c r="AY69" s="483" t="s">
        <v>272</v>
      </c>
      <c r="AZ69" s="483" t="s">
        <v>367</v>
      </c>
      <c r="BA69" s="456" t="s">
        <v>368</v>
      </c>
      <c r="BC69" s="481">
        <f>AW69+AX69</f>
        <v>0</v>
      </c>
      <c r="BD69" s="481">
        <f>G69/(100-BE69)*100</f>
        <v>0</v>
      </c>
      <c r="BE69" s="481">
        <v>0</v>
      </c>
      <c r="BF69" s="481">
        <f>69</f>
        <v>69</v>
      </c>
      <c r="BH69" s="481">
        <f>F69*AO69</f>
        <v>0</v>
      </c>
      <c r="BI69" s="481">
        <f>F69*AP69</f>
        <v>0</v>
      </c>
      <c r="BJ69" s="481">
        <f>F69*G69</f>
        <v>0</v>
      </c>
      <c r="BK69" s="481"/>
      <c r="BL69" s="481">
        <v>16</v>
      </c>
      <c r="BW69" s="481">
        <v>21</v>
      </c>
      <c r="BX69" s="484" t="s">
        <v>423</v>
      </c>
    </row>
    <row r="70" spans="1:76" x14ac:dyDescent="0.25">
      <c r="A70" s="479" t="s">
        <v>314</v>
      </c>
      <c r="B70" s="480" t="s">
        <v>424</v>
      </c>
      <c r="C70" s="399" t="s">
        <v>453</v>
      </c>
      <c r="D70" s="395"/>
      <c r="E70" s="480" t="s">
        <v>291</v>
      </c>
      <c r="F70" s="481">
        <v>422</v>
      </c>
      <c r="G70" s="504">
        <v>0</v>
      </c>
      <c r="H70" s="481">
        <f>F70*AO70</f>
        <v>0</v>
      </c>
      <c r="I70" s="481">
        <f>F70*AP70</f>
        <v>0</v>
      </c>
      <c r="J70" s="481">
        <f>F70*G70</f>
        <v>0</v>
      </c>
      <c r="K70" s="482" t="s">
        <v>256</v>
      </c>
      <c r="Z70" s="481">
        <f>IF(AQ70="5",BJ70,0)</f>
        <v>0</v>
      </c>
      <c r="AB70" s="481">
        <f>IF(AQ70="1",BH70,0)</f>
        <v>0</v>
      </c>
      <c r="AC70" s="481">
        <f>IF(AQ70="1",BI70,0)</f>
        <v>0</v>
      </c>
      <c r="AD70" s="481">
        <f>IF(AQ70="7",BH70,0)</f>
        <v>0</v>
      </c>
      <c r="AE70" s="481">
        <f>IF(AQ70="7",BI70,0)</f>
        <v>0</v>
      </c>
      <c r="AF70" s="481">
        <f>IF(AQ70="2",BH70,0)</f>
        <v>0</v>
      </c>
      <c r="AG70" s="481">
        <f>IF(AQ70="2",BI70,0)</f>
        <v>0</v>
      </c>
      <c r="AH70" s="481">
        <f>IF(AQ70="0",BJ70,0)</f>
        <v>0</v>
      </c>
      <c r="AI70" s="456" t="s">
        <v>365</v>
      </c>
      <c r="AJ70" s="481">
        <f>IF(AN70=0,J70,0)</f>
        <v>0</v>
      </c>
      <c r="AK70" s="481">
        <f>IF(AN70=15,J70,0)</f>
        <v>0</v>
      </c>
      <c r="AL70" s="481">
        <f>IF(AN70=21,J70,0)</f>
        <v>0</v>
      </c>
      <c r="AN70" s="481">
        <v>21</v>
      </c>
      <c r="AO70" s="481">
        <f>G70*0</f>
        <v>0</v>
      </c>
      <c r="AP70" s="481">
        <f>G70*(1-0)</f>
        <v>0</v>
      </c>
      <c r="AQ70" s="483" t="s">
        <v>254</v>
      </c>
      <c r="AV70" s="481">
        <f>AW70+AX70</f>
        <v>0</v>
      </c>
      <c r="AW70" s="481">
        <f>F70*AO70</f>
        <v>0</v>
      </c>
      <c r="AX70" s="481">
        <f>F70*AP70</f>
        <v>0</v>
      </c>
      <c r="AY70" s="483" t="s">
        <v>272</v>
      </c>
      <c r="AZ70" s="483" t="s">
        <v>367</v>
      </c>
      <c r="BA70" s="456" t="s">
        <v>368</v>
      </c>
      <c r="BC70" s="481">
        <f>AW70+AX70</f>
        <v>0</v>
      </c>
      <c r="BD70" s="481">
        <f>G70/(100-BE70)*100</f>
        <v>0</v>
      </c>
      <c r="BE70" s="481">
        <v>0</v>
      </c>
      <c r="BF70" s="481">
        <f>70</f>
        <v>70</v>
      </c>
      <c r="BH70" s="481">
        <f>F70*AO70</f>
        <v>0</v>
      </c>
      <c r="BI70" s="481">
        <f>F70*AP70</f>
        <v>0</v>
      </c>
      <c r="BJ70" s="481">
        <f>F70*G70</f>
        <v>0</v>
      </c>
      <c r="BK70" s="481"/>
      <c r="BL70" s="481">
        <v>16</v>
      </c>
      <c r="BW70" s="481">
        <v>21</v>
      </c>
      <c r="BX70" s="484" t="s">
        <v>453</v>
      </c>
    </row>
    <row r="71" spans="1:76" x14ac:dyDescent="0.25">
      <c r="A71" s="479" t="s">
        <v>315</v>
      </c>
      <c r="B71" s="480" t="s">
        <v>426</v>
      </c>
      <c r="C71" s="399" t="s">
        <v>427</v>
      </c>
      <c r="D71" s="395"/>
      <c r="E71" s="480" t="s">
        <v>291</v>
      </c>
      <c r="F71" s="481">
        <v>422</v>
      </c>
      <c r="G71" s="504">
        <v>0</v>
      </c>
      <c r="H71" s="481">
        <f>F71*AO71</f>
        <v>0</v>
      </c>
      <c r="I71" s="481">
        <f>F71*AP71</f>
        <v>0</v>
      </c>
      <c r="J71" s="481">
        <f>F71*G71</f>
        <v>0</v>
      </c>
      <c r="K71" s="482" t="s">
        <v>256</v>
      </c>
      <c r="Z71" s="481">
        <f>IF(AQ71="5",BJ71,0)</f>
        <v>0</v>
      </c>
      <c r="AB71" s="481">
        <f>IF(AQ71="1",BH71,0)</f>
        <v>0</v>
      </c>
      <c r="AC71" s="481">
        <f>IF(AQ71="1",BI71,0)</f>
        <v>0</v>
      </c>
      <c r="AD71" s="481">
        <f>IF(AQ71="7",BH71,0)</f>
        <v>0</v>
      </c>
      <c r="AE71" s="481">
        <f>IF(AQ71="7",BI71,0)</f>
        <v>0</v>
      </c>
      <c r="AF71" s="481">
        <f>IF(AQ71="2",BH71,0)</f>
        <v>0</v>
      </c>
      <c r="AG71" s="481">
        <f>IF(AQ71="2",BI71,0)</f>
        <v>0</v>
      </c>
      <c r="AH71" s="481">
        <f>IF(AQ71="0",BJ71,0)</f>
        <v>0</v>
      </c>
      <c r="AI71" s="456" t="s">
        <v>365</v>
      </c>
      <c r="AJ71" s="481">
        <f>IF(AN71=0,J71,0)</f>
        <v>0</v>
      </c>
      <c r="AK71" s="481">
        <f>IF(AN71=15,J71,0)</f>
        <v>0</v>
      </c>
      <c r="AL71" s="481">
        <f>IF(AN71=21,J71,0)</f>
        <v>0</v>
      </c>
      <c r="AN71" s="481">
        <v>21</v>
      </c>
      <c r="AO71" s="481">
        <f>G71*0</f>
        <v>0</v>
      </c>
      <c r="AP71" s="481">
        <f>G71*(1-0)</f>
        <v>0</v>
      </c>
      <c r="AQ71" s="483" t="s">
        <v>254</v>
      </c>
      <c r="AV71" s="481">
        <f>AW71+AX71</f>
        <v>0</v>
      </c>
      <c r="AW71" s="481">
        <f>F71*AO71</f>
        <v>0</v>
      </c>
      <c r="AX71" s="481">
        <f>F71*AP71</f>
        <v>0</v>
      </c>
      <c r="AY71" s="483" t="s">
        <v>272</v>
      </c>
      <c r="AZ71" s="483" t="s">
        <v>367</v>
      </c>
      <c r="BA71" s="456" t="s">
        <v>368</v>
      </c>
      <c r="BC71" s="481">
        <f>AW71+AX71</f>
        <v>0</v>
      </c>
      <c r="BD71" s="481">
        <f>G71/(100-BE71)*100</f>
        <v>0</v>
      </c>
      <c r="BE71" s="481">
        <v>0</v>
      </c>
      <c r="BF71" s="481">
        <f>71</f>
        <v>71</v>
      </c>
      <c r="BH71" s="481">
        <f>F71*AO71</f>
        <v>0</v>
      </c>
      <c r="BI71" s="481">
        <f>F71*AP71</f>
        <v>0</v>
      </c>
      <c r="BJ71" s="481">
        <f>F71*G71</f>
        <v>0</v>
      </c>
      <c r="BK71" s="481"/>
      <c r="BL71" s="481">
        <v>16</v>
      </c>
      <c r="BW71" s="481">
        <v>21</v>
      </c>
      <c r="BX71" s="484" t="s">
        <v>427</v>
      </c>
    </row>
    <row r="72" spans="1:76" x14ac:dyDescent="0.25">
      <c r="A72" s="473" t="s">
        <v>180</v>
      </c>
      <c r="B72" s="474" t="s">
        <v>277</v>
      </c>
      <c r="C72" s="475" t="s">
        <v>341</v>
      </c>
      <c r="D72" s="476"/>
      <c r="E72" s="477" t="s">
        <v>218</v>
      </c>
      <c r="F72" s="477" t="s">
        <v>218</v>
      </c>
      <c r="G72" s="477" t="s">
        <v>218</v>
      </c>
      <c r="H72" s="446">
        <f>SUM(H73:H74)</f>
        <v>0</v>
      </c>
      <c r="I72" s="446">
        <f>SUM(I73:I74)</f>
        <v>0</v>
      </c>
      <c r="J72" s="446">
        <f>SUM(J73:J74)</f>
        <v>0</v>
      </c>
      <c r="K72" s="478" t="s">
        <v>180</v>
      </c>
      <c r="AI72" s="456" t="s">
        <v>365</v>
      </c>
      <c r="AS72" s="446">
        <f>SUM(AJ73:AJ74)</f>
        <v>0</v>
      </c>
      <c r="AT72" s="446">
        <f>SUM(AK73:AK74)</f>
        <v>0</v>
      </c>
      <c r="AU72" s="446">
        <f>SUM(AL73:AL74)</f>
        <v>0</v>
      </c>
    </row>
    <row r="73" spans="1:76" ht="25.5" x14ac:dyDescent="0.25">
      <c r="A73" s="479" t="s">
        <v>317</v>
      </c>
      <c r="B73" s="480" t="s">
        <v>454</v>
      </c>
      <c r="C73" s="399" t="s">
        <v>455</v>
      </c>
      <c r="D73" s="395"/>
      <c r="E73" s="480" t="s">
        <v>291</v>
      </c>
      <c r="F73" s="481">
        <v>37</v>
      </c>
      <c r="G73" s="504">
        <v>0</v>
      </c>
      <c r="H73" s="481">
        <f>F73*AO73</f>
        <v>0</v>
      </c>
      <c r="I73" s="481">
        <f>F73*AP73</f>
        <v>0</v>
      </c>
      <c r="J73" s="481">
        <f>F73*G73</f>
        <v>0</v>
      </c>
      <c r="K73" s="482" t="s">
        <v>312</v>
      </c>
      <c r="Z73" s="481">
        <f>IF(AQ73="5",BJ73,0)</f>
        <v>0</v>
      </c>
      <c r="AB73" s="481">
        <f>IF(AQ73="1",BH73,0)</f>
        <v>0</v>
      </c>
      <c r="AC73" s="481">
        <f>IF(AQ73="1",BI73,0)</f>
        <v>0</v>
      </c>
      <c r="AD73" s="481">
        <f>IF(AQ73="7",BH73,0)</f>
        <v>0</v>
      </c>
      <c r="AE73" s="481">
        <f>IF(AQ73="7",BI73,0)</f>
        <v>0</v>
      </c>
      <c r="AF73" s="481">
        <f>IF(AQ73="2",BH73,0)</f>
        <v>0</v>
      </c>
      <c r="AG73" s="481">
        <f>IF(AQ73="2",BI73,0)</f>
        <v>0</v>
      </c>
      <c r="AH73" s="481">
        <f>IF(AQ73="0",BJ73,0)</f>
        <v>0</v>
      </c>
      <c r="AI73" s="456" t="s">
        <v>365</v>
      </c>
      <c r="AJ73" s="481">
        <f>IF(AN73=0,J73,0)</f>
        <v>0</v>
      </c>
      <c r="AK73" s="481">
        <f>IF(AN73=15,J73,0)</f>
        <v>0</v>
      </c>
      <c r="AL73" s="481">
        <f>IF(AN73=21,J73,0)</f>
        <v>0</v>
      </c>
      <c r="AN73" s="481">
        <v>21</v>
      </c>
      <c r="AO73" s="481">
        <f>G73*0</f>
        <v>0</v>
      </c>
      <c r="AP73" s="481">
        <f>G73*(1-0)</f>
        <v>0</v>
      </c>
      <c r="AQ73" s="483" t="s">
        <v>254</v>
      </c>
      <c r="AV73" s="481">
        <f>AW73+AX73</f>
        <v>0</v>
      </c>
      <c r="AW73" s="481">
        <f>F73*AO73</f>
        <v>0</v>
      </c>
      <c r="AX73" s="481">
        <f>F73*AP73</f>
        <v>0</v>
      </c>
      <c r="AY73" s="483" t="s">
        <v>344</v>
      </c>
      <c r="AZ73" s="483" t="s">
        <v>367</v>
      </c>
      <c r="BA73" s="456" t="s">
        <v>368</v>
      </c>
      <c r="BC73" s="481">
        <f>AW73+AX73</f>
        <v>0</v>
      </c>
      <c r="BD73" s="481">
        <f>G73/(100-BE73)*100</f>
        <v>0</v>
      </c>
      <c r="BE73" s="481">
        <v>0</v>
      </c>
      <c r="BF73" s="481">
        <f>73</f>
        <v>73</v>
      </c>
      <c r="BH73" s="481">
        <f>F73*AO73</f>
        <v>0</v>
      </c>
      <c r="BI73" s="481">
        <f>F73*AP73</f>
        <v>0</v>
      </c>
      <c r="BJ73" s="481">
        <f>F73*G73</f>
        <v>0</v>
      </c>
      <c r="BK73" s="481"/>
      <c r="BL73" s="481">
        <v>17</v>
      </c>
      <c r="BW73" s="481">
        <v>21</v>
      </c>
      <c r="BX73" s="484" t="s">
        <v>455</v>
      </c>
    </row>
    <row r="74" spans="1:76" x14ac:dyDescent="0.25">
      <c r="A74" s="479" t="s">
        <v>318</v>
      </c>
      <c r="B74" s="480" t="s">
        <v>343</v>
      </c>
      <c r="C74" s="399" t="s">
        <v>456</v>
      </c>
      <c r="D74" s="395"/>
      <c r="E74" s="480" t="s">
        <v>291</v>
      </c>
      <c r="F74" s="481">
        <v>382</v>
      </c>
      <c r="G74" s="504">
        <v>0</v>
      </c>
      <c r="H74" s="481">
        <f>F74*AO74</f>
        <v>0</v>
      </c>
      <c r="I74" s="481">
        <f>F74*AP74</f>
        <v>0</v>
      </c>
      <c r="J74" s="481">
        <f>F74*G74</f>
        <v>0</v>
      </c>
      <c r="K74" s="482" t="s">
        <v>312</v>
      </c>
      <c r="Z74" s="481">
        <f>IF(AQ74="5",BJ74,0)</f>
        <v>0</v>
      </c>
      <c r="AB74" s="481">
        <f>IF(AQ74="1",BH74,0)</f>
        <v>0</v>
      </c>
      <c r="AC74" s="481">
        <f>IF(AQ74="1",BI74,0)</f>
        <v>0</v>
      </c>
      <c r="AD74" s="481">
        <f>IF(AQ74="7",BH74,0)</f>
        <v>0</v>
      </c>
      <c r="AE74" s="481">
        <f>IF(AQ74="7",BI74,0)</f>
        <v>0</v>
      </c>
      <c r="AF74" s="481">
        <f>IF(AQ74="2",BH74,0)</f>
        <v>0</v>
      </c>
      <c r="AG74" s="481">
        <f>IF(AQ74="2",BI74,0)</f>
        <v>0</v>
      </c>
      <c r="AH74" s="481">
        <f>IF(AQ74="0",BJ74,0)</f>
        <v>0</v>
      </c>
      <c r="AI74" s="456" t="s">
        <v>365</v>
      </c>
      <c r="AJ74" s="481">
        <f>IF(AN74=0,J74,0)</f>
        <v>0</v>
      </c>
      <c r="AK74" s="481">
        <f>IF(AN74=15,J74,0)</f>
        <v>0</v>
      </c>
      <c r="AL74" s="481">
        <f>IF(AN74=21,J74,0)</f>
        <v>0</v>
      </c>
      <c r="AN74" s="481">
        <v>21</v>
      </c>
      <c r="AO74" s="481">
        <f>G74*0</f>
        <v>0</v>
      </c>
      <c r="AP74" s="481">
        <f>G74*(1-0)</f>
        <v>0</v>
      </c>
      <c r="AQ74" s="483" t="s">
        <v>254</v>
      </c>
      <c r="AV74" s="481">
        <f>AW74+AX74</f>
        <v>0</v>
      </c>
      <c r="AW74" s="481">
        <f>F74*AO74</f>
        <v>0</v>
      </c>
      <c r="AX74" s="481">
        <f>F74*AP74</f>
        <v>0</v>
      </c>
      <c r="AY74" s="483" t="s">
        <v>344</v>
      </c>
      <c r="AZ74" s="483" t="s">
        <v>367</v>
      </c>
      <c r="BA74" s="456" t="s">
        <v>368</v>
      </c>
      <c r="BC74" s="481">
        <f>AW74+AX74</f>
        <v>0</v>
      </c>
      <c r="BD74" s="481">
        <f>G74/(100-BE74)*100</f>
        <v>0</v>
      </c>
      <c r="BE74" s="481">
        <v>0</v>
      </c>
      <c r="BF74" s="481">
        <f>74</f>
        <v>74</v>
      </c>
      <c r="BH74" s="481">
        <f>F74*AO74</f>
        <v>0</v>
      </c>
      <c r="BI74" s="481">
        <f>F74*AP74</f>
        <v>0</v>
      </c>
      <c r="BJ74" s="481">
        <f>F74*G74</f>
        <v>0</v>
      </c>
      <c r="BK74" s="481"/>
      <c r="BL74" s="481">
        <v>17</v>
      </c>
      <c r="BW74" s="481">
        <v>21</v>
      </c>
      <c r="BX74" s="484" t="s">
        <v>456</v>
      </c>
    </row>
    <row r="75" spans="1:76" ht="67.5" customHeight="1" x14ac:dyDescent="0.25">
      <c r="A75" s="485"/>
      <c r="B75" s="486" t="s">
        <v>214</v>
      </c>
      <c r="C75" s="487" t="s">
        <v>1322</v>
      </c>
      <c r="D75" s="488"/>
      <c r="E75" s="488"/>
      <c r="F75" s="488"/>
      <c r="G75" s="488"/>
      <c r="H75" s="488"/>
      <c r="I75" s="488"/>
      <c r="J75" s="488"/>
      <c r="K75" s="489"/>
    </row>
    <row r="76" spans="1:76" x14ac:dyDescent="0.25">
      <c r="A76" s="473" t="s">
        <v>180</v>
      </c>
      <c r="B76" s="474" t="s">
        <v>279</v>
      </c>
      <c r="C76" s="475" t="s">
        <v>303</v>
      </c>
      <c r="D76" s="476"/>
      <c r="E76" s="477" t="s">
        <v>218</v>
      </c>
      <c r="F76" s="477" t="s">
        <v>218</v>
      </c>
      <c r="G76" s="477" t="s">
        <v>218</v>
      </c>
      <c r="H76" s="446">
        <f>SUM(H77:H77)</f>
        <v>0</v>
      </c>
      <c r="I76" s="446">
        <f>SUM(I77:I77)</f>
        <v>0</v>
      </c>
      <c r="J76" s="446">
        <f>SUM(J77:J77)</f>
        <v>0</v>
      </c>
      <c r="K76" s="478" t="s">
        <v>180</v>
      </c>
      <c r="AI76" s="456" t="s">
        <v>365</v>
      </c>
      <c r="AS76" s="446">
        <f>SUM(AJ77:AJ77)</f>
        <v>0</v>
      </c>
      <c r="AT76" s="446">
        <f>SUM(AK77:AK77)</f>
        <v>0</v>
      </c>
      <c r="AU76" s="446">
        <f>SUM(AL77:AL77)</f>
        <v>0</v>
      </c>
    </row>
    <row r="77" spans="1:76" x14ac:dyDescent="0.25">
      <c r="A77" s="479" t="s">
        <v>321</v>
      </c>
      <c r="B77" s="480" t="s">
        <v>457</v>
      </c>
      <c r="C77" s="399" t="s">
        <v>458</v>
      </c>
      <c r="D77" s="395"/>
      <c r="E77" s="480" t="s">
        <v>255</v>
      </c>
      <c r="F77" s="481">
        <v>278</v>
      </c>
      <c r="G77" s="504">
        <v>0</v>
      </c>
      <c r="H77" s="481">
        <f>F77*AO77</f>
        <v>0</v>
      </c>
      <c r="I77" s="481">
        <f>F77*AP77</f>
        <v>0</v>
      </c>
      <c r="J77" s="481">
        <f>F77*G77</f>
        <v>0</v>
      </c>
      <c r="K77" s="482" t="s">
        <v>312</v>
      </c>
      <c r="Z77" s="481">
        <f>IF(AQ77="5",BJ77,0)</f>
        <v>0</v>
      </c>
      <c r="AB77" s="481">
        <f>IF(AQ77="1",BH77,0)</f>
        <v>0</v>
      </c>
      <c r="AC77" s="481">
        <f>IF(AQ77="1",BI77,0)</f>
        <v>0</v>
      </c>
      <c r="AD77" s="481">
        <f>IF(AQ77="7",BH77,0)</f>
        <v>0</v>
      </c>
      <c r="AE77" s="481">
        <f>IF(AQ77="7",BI77,0)</f>
        <v>0</v>
      </c>
      <c r="AF77" s="481">
        <f>IF(AQ77="2",BH77,0)</f>
        <v>0</v>
      </c>
      <c r="AG77" s="481">
        <f>IF(AQ77="2",BI77,0)</f>
        <v>0</v>
      </c>
      <c r="AH77" s="481">
        <f>IF(AQ77="0",BJ77,0)</f>
        <v>0</v>
      </c>
      <c r="AI77" s="456" t="s">
        <v>365</v>
      </c>
      <c r="AJ77" s="481">
        <f>IF(AN77=0,J77,0)</f>
        <v>0</v>
      </c>
      <c r="AK77" s="481">
        <f>IF(AN77=15,J77,0)</f>
        <v>0</v>
      </c>
      <c r="AL77" s="481">
        <f>IF(AN77=21,J77,0)</f>
        <v>0</v>
      </c>
      <c r="AN77" s="481">
        <v>21</v>
      </c>
      <c r="AO77" s="481">
        <f>G77*0</f>
        <v>0</v>
      </c>
      <c r="AP77" s="481">
        <f>G77*(1-0)</f>
        <v>0</v>
      </c>
      <c r="AQ77" s="483" t="s">
        <v>254</v>
      </c>
      <c r="AV77" s="481">
        <f>AW77+AX77</f>
        <v>0</v>
      </c>
      <c r="AW77" s="481">
        <f>F77*AO77</f>
        <v>0</v>
      </c>
      <c r="AX77" s="481">
        <f>F77*AP77</f>
        <v>0</v>
      </c>
      <c r="AY77" s="483" t="s">
        <v>305</v>
      </c>
      <c r="AZ77" s="483" t="s">
        <v>367</v>
      </c>
      <c r="BA77" s="456" t="s">
        <v>368</v>
      </c>
      <c r="BC77" s="481">
        <f>AW77+AX77</f>
        <v>0</v>
      </c>
      <c r="BD77" s="481">
        <f>G77/(100-BE77)*100</f>
        <v>0</v>
      </c>
      <c r="BE77" s="481">
        <v>0</v>
      </c>
      <c r="BF77" s="481">
        <f>77</f>
        <v>77</v>
      </c>
      <c r="BH77" s="481">
        <f>F77*AO77</f>
        <v>0</v>
      </c>
      <c r="BI77" s="481">
        <f>F77*AP77</f>
        <v>0</v>
      </c>
      <c r="BJ77" s="481">
        <f>F77*G77</f>
        <v>0</v>
      </c>
      <c r="BK77" s="481"/>
      <c r="BL77" s="481">
        <v>18</v>
      </c>
      <c r="BW77" s="481">
        <v>21</v>
      </c>
      <c r="BX77" s="484" t="s">
        <v>458</v>
      </c>
    </row>
    <row r="78" spans="1:76" x14ac:dyDescent="0.25">
      <c r="A78" s="473" t="s">
        <v>180</v>
      </c>
      <c r="B78" s="474" t="s">
        <v>350</v>
      </c>
      <c r="C78" s="475" t="s">
        <v>459</v>
      </c>
      <c r="D78" s="476"/>
      <c r="E78" s="477" t="s">
        <v>218</v>
      </c>
      <c r="F78" s="477" t="s">
        <v>218</v>
      </c>
      <c r="G78" s="477" t="s">
        <v>218</v>
      </c>
      <c r="H78" s="446">
        <f>SUM(H79:H80)</f>
        <v>0</v>
      </c>
      <c r="I78" s="446">
        <f>SUM(I79:I80)</f>
        <v>0</v>
      </c>
      <c r="J78" s="446">
        <f>SUM(J79:J80)</f>
        <v>0</v>
      </c>
      <c r="K78" s="478" t="s">
        <v>180</v>
      </c>
      <c r="AI78" s="456" t="s">
        <v>365</v>
      </c>
      <c r="AS78" s="446">
        <f>SUM(AJ79:AJ80)</f>
        <v>0</v>
      </c>
      <c r="AT78" s="446">
        <f>SUM(AK79:AK80)</f>
        <v>0</v>
      </c>
      <c r="AU78" s="446">
        <f>SUM(AL79:AL80)</f>
        <v>0</v>
      </c>
    </row>
    <row r="79" spans="1:76" x14ac:dyDescent="0.25">
      <c r="A79" s="479" t="s">
        <v>322</v>
      </c>
      <c r="B79" s="480" t="s">
        <v>311</v>
      </c>
      <c r="C79" s="399" t="s">
        <v>460</v>
      </c>
      <c r="D79" s="395"/>
      <c r="E79" s="480" t="s">
        <v>291</v>
      </c>
      <c r="F79" s="481">
        <v>12</v>
      </c>
      <c r="G79" s="504">
        <v>0</v>
      </c>
      <c r="H79" s="481">
        <f>F79*AO79</f>
        <v>0</v>
      </c>
      <c r="I79" s="481">
        <f>F79*AP79</f>
        <v>0</v>
      </c>
      <c r="J79" s="481">
        <f>F79*G79</f>
        <v>0</v>
      </c>
      <c r="K79" s="482" t="s">
        <v>312</v>
      </c>
      <c r="Z79" s="481">
        <f>IF(AQ79="5",BJ79,0)</f>
        <v>0</v>
      </c>
      <c r="AB79" s="481">
        <f>IF(AQ79="1",BH79,0)</f>
        <v>0</v>
      </c>
      <c r="AC79" s="481">
        <f>IF(AQ79="1",BI79,0)</f>
        <v>0</v>
      </c>
      <c r="AD79" s="481">
        <f>IF(AQ79="7",BH79,0)</f>
        <v>0</v>
      </c>
      <c r="AE79" s="481">
        <f>IF(AQ79="7",BI79,0)</f>
        <v>0</v>
      </c>
      <c r="AF79" s="481">
        <f>IF(AQ79="2",BH79,0)</f>
        <v>0</v>
      </c>
      <c r="AG79" s="481">
        <f>IF(AQ79="2",BI79,0)</f>
        <v>0</v>
      </c>
      <c r="AH79" s="481">
        <f>IF(AQ79="0",BJ79,0)</f>
        <v>0</v>
      </c>
      <c r="AI79" s="456" t="s">
        <v>365</v>
      </c>
      <c r="AJ79" s="481">
        <f>IF(AN79=0,J79,0)</f>
        <v>0</v>
      </c>
      <c r="AK79" s="481">
        <f>IF(AN79=15,J79,0)</f>
        <v>0</v>
      </c>
      <c r="AL79" s="481">
        <f>IF(AN79=21,J79,0)</f>
        <v>0</v>
      </c>
      <c r="AN79" s="481">
        <v>21</v>
      </c>
      <c r="AO79" s="481">
        <f>G79*0</f>
        <v>0</v>
      </c>
      <c r="AP79" s="481">
        <f>G79*(1-0)</f>
        <v>0</v>
      </c>
      <c r="AQ79" s="483" t="s">
        <v>254</v>
      </c>
      <c r="AV79" s="481">
        <f>AW79+AX79</f>
        <v>0</v>
      </c>
      <c r="AW79" s="481">
        <f>F79*AO79</f>
        <v>0</v>
      </c>
      <c r="AX79" s="481">
        <f>F79*AP79</f>
        <v>0</v>
      </c>
      <c r="AY79" s="483" t="s">
        <v>461</v>
      </c>
      <c r="AZ79" s="483" t="s">
        <v>495</v>
      </c>
      <c r="BA79" s="456" t="s">
        <v>368</v>
      </c>
      <c r="BC79" s="481">
        <f>AW79+AX79</f>
        <v>0</v>
      </c>
      <c r="BD79" s="481">
        <f>G79/(100-BE79)*100</f>
        <v>0</v>
      </c>
      <c r="BE79" s="481">
        <v>0</v>
      </c>
      <c r="BF79" s="481">
        <f>79</f>
        <v>79</v>
      </c>
      <c r="BH79" s="481">
        <f>F79*AO79</f>
        <v>0</v>
      </c>
      <c r="BI79" s="481">
        <f>F79*AP79</f>
        <v>0</v>
      </c>
      <c r="BJ79" s="481">
        <f>F79*G79</f>
        <v>0</v>
      </c>
      <c r="BK79" s="481"/>
      <c r="BL79" s="481">
        <v>57</v>
      </c>
      <c r="BW79" s="481">
        <v>21</v>
      </c>
      <c r="BX79" s="484" t="s">
        <v>460</v>
      </c>
    </row>
    <row r="80" spans="1:76" x14ac:dyDescent="0.25">
      <c r="A80" s="479" t="s">
        <v>323</v>
      </c>
      <c r="B80" s="480" t="s">
        <v>462</v>
      </c>
      <c r="C80" s="399" t="s">
        <v>463</v>
      </c>
      <c r="D80" s="395"/>
      <c r="E80" s="480" t="s">
        <v>464</v>
      </c>
      <c r="F80" s="481">
        <v>4000</v>
      </c>
      <c r="G80" s="504">
        <v>0</v>
      </c>
      <c r="H80" s="481">
        <f>F80*AO80</f>
        <v>0</v>
      </c>
      <c r="I80" s="481">
        <f>F80*AP80</f>
        <v>0</v>
      </c>
      <c r="J80" s="481">
        <f>F80*G80</f>
        <v>0</v>
      </c>
      <c r="K80" s="482" t="s">
        <v>180</v>
      </c>
      <c r="Z80" s="481">
        <f>IF(AQ80="5",BJ80,0)</f>
        <v>0</v>
      </c>
      <c r="AB80" s="481">
        <f>IF(AQ80="1",BH80,0)</f>
        <v>0</v>
      </c>
      <c r="AC80" s="481">
        <f>IF(AQ80="1",BI80,0)</f>
        <v>0</v>
      </c>
      <c r="AD80" s="481">
        <f>IF(AQ80="7",BH80,0)</f>
        <v>0</v>
      </c>
      <c r="AE80" s="481">
        <f>IF(AQ80="7",BI80,0)</f>
        <v>0</v>
      </c>
      <c r="AF80" s="481">
        <f>IF(AQ80="2",BH80,0)</f>
        <v>0</v>
      </c>
      <c r="AG80" s="481">
        <f>IF(AQ80="2",BI80,0)</f>
        <v>0</v>
      </c>
      <c r="AH80" s="481">
        <f>IF(AQ80="0",BJ80,0)</f>
        <v>0</v>
      </c>
      <c r="AI80" s="456" t="s">
        <v>365</v>
      </c>
      <c r="AJ80" s="481">
        <f>IF(AN80=0,J80,0)</f>
        <v>0</v>
      </c>
      <c r="AK80" s="481">
        <f>IF(AN80=15,J80,0)</f>
        <v>0</v>
      </c>
      <c r="AL80" s="481">
        <f>IF(AN80=21,J80,0)</f>
        <v>0</v>
      </c>
      <c r="AN80" s="481">
        <v>21</v>
      </c>
      <c r="AO80" s="481">
        <f>G80*0</f>
        <v>0</v>
      </c>
      <c r="AP80" s="481">
        <f>G80*(1-0)</f>
        <v>0</v>
      </c>
      <c r="AQ80" s="483" t="s">
        <v>264</v>
      </c>
      <c r="AV80" s="481">
        <f>AW80+AX80</f>
        <v>0</v>
      </c>
      <c r="AW80" s="481">
        <f>F80*AO80</f>
        <v>0</v>
      </c>
      <c r="AX80" s="481">
        <f>F80*AP80</f>
        <v>0</v>
      </c>
      <c r="AY80" s="483" t="s">
        <v>461</v>
      </c>
      <c r="AZ80" s="483" t="s">
        <v>495</v>
      </c>
      <c r="BA80" s="456" t="s">
        <v>368</v>
      </c>
      <c r="BC80" s="481">
        <f>AW80+AX80</f>
        <v>0</v>
      </c>
      <c r="BD80" s="481">
        <f>G80/(100-BE80)*100</f>
        <v>0</v>
      </c>
      <c r="BE80" s="481">
        <v>0</v>
      </c>
      <c r="BF80" s="481">
        <f>80</f>
        <v>80</v>
      </c>
      <c r="BH80" s="481">
        <f>F80*AO80</f>
        <v>0</v>
      </c>
      <c r="BI80" s="481">
        <f>F80*AP80</f>
        <v>0</v>
      </c>
      <c r="BJ80" s="481">
        <f>F80*G80</f>
        <v>0</v>
      </c>
      <c r="BK80" s="481"/>
      <c r="BL80" s="481">
        <v>57</v>
      </c>
      <c r="BW80" s="481">
        <v>21</v>
      </c>
      <c r="BX80" s="484" t="s">
        <v>463</v>
      </c>
    </row>
    <row r="81" spans="1:76" ht="54" customHeight="1" x14ac:dyDescent="0.25">
      <c r="A81" s="485"/>
      <c r="B81" s="486" t="s">
        <v>214</v>
      </c>
      <c r="C81" s="487" t="s">
        <v>1323</v>
      </c>
      <c r="D81" s="488"/>
      <c r="E81" s="488"/>
      <c r="F81" s="488"/>
      <c r="G81" s="488"/>
      <c r="H81" s="488"/>
      <c r="I81" s="488"/>
      <c r="J81" s="488"/>
      <c r="K81" s="489"/>
    </row>
    <row r="82" spans="1:76" x14ac:dyDescent="0.25">
      <c r="A82" s="473" t="s">
        <v>180</v>
      </c>
      <c r="B82" s="474" t="s">
        <v>281</v>
      </c>
      <c r="C82" s="475" t="s">
        <v>282</v>
      </c>
      <c r="D82" s="476"/>
      <c r="E82" s="477" t="s">
        <v>218</v>
      </c>
      <c r="F82" s="477" t="s">
        <v>218</v>
      </c>
      <c r="G82" s="477" t="s">
        <v>218</v>
      </c>
      <c r="H82" s="446">
        <f>SUM(H83:H83)</f>
        <v>0</v>
      </c>
      <c r="I82" s="446">
        <f>SUM(I83:I83)</f>
        <v>0</v>
      </c>
      <c r="J82" s="446">
        <f>SUM(J83:J83)</f>
        <v>0</v>
      </c>
      <c r="K82" s="478" t="s">
        <v>180</v>
      </c>
      <c r="AI82" s="456" t="s">
        <v>365</v>
      </c>
      <c r="AS82" s="446">
        <f>SUM(AJ83:AJ83)</f>
        <v>0</v>
      </c>
      <c r="AT82" s="446">
        <f>SUM(AK83:AK83)</f>
        <v>0</v>
      </c>
      <c r="AU82" s="446">
        <f>SUM(AL83:AL83)</f>
        <v>0</v>
      </c>
    </row>
    <row r="83" spans="1:76" x14ac:dyDescent="0.25">
      <c r="A83" s="479" t="s">
        <v>324</v>
      </c>
      <c r="B83" s="480" t="s">
        <v>401</v>
      </c>
      <c r="C83" s="399" t="s">
        <v>402</v>
      </c>
      <c r="D83" s="395"/>
      <c r="E83" s="480" t="s">
        <v>43</v>
      </c>
      <c r="F83" s="481">
        <v>777</v>
      </c>
      <c r="G83" s="504">
        <v>0</v>
      </c>
      <c r="H83" s="481">
        <f>F83*AO83</f>
        <v>0</v>
      </c>
      <c r="I83" s="481">
        <f>F83*AP83</f>
        <v>0</v>
      </c>
      <c r="J83" s="481">
        <f>F83*G83</f>
        <v>0</v>
      </c>
      <c r="K83" s="482" t="s">
        <v>256</v>
      </c>
      <c r="Z83" s="481">
        <f>IF(AQ83="5",BJ83,0)</f>
        <v>0</v>
      </c>
      <c r="AB83" s="481">
        <f>IF(AQ83="1",BH83,0)</f>
        <v>0</v>
      </c>
      <c r="AC83" s="481">
        <f>IF(AQ83="1",BI83,0)</f>
        <v>0</v>
      </c>
      <c r="AD83" s="481">
        <f>IF(AQ83="7",BH83,0)</f>
        <v>0</v>
      </c>
      <c r="AE83" s="481">
        <f>IF(AQ83="7",BI83,0)</f>
        <v>0</v>
      </c>
      <c r="AF83" s="481">
        <f>IF(AQ83="2",BH83,0)</f>
        <v>0</v>
      </c>
      <c r="AG83" s="481">
        <f>IF(AQ83="2",BI83,0)</f>
        <v>0</v>
      </c>
      <c r="AH83" s="481">
        <f>IF(AQ83="0",BJ83,0)</f>
        <v>0</v>
      </c>
      <c r="AI83" s="456" t="s">
        <v>365</v>
      </c>
      <c r="AJ83" s="481">
        <f>IF(AN83=0,J83,0)</f>
        <v>0</v>
      </c>
      <c r="AK83" s="481">
        <f>IF(AN83=15,J83,0)</f>
        <v>0</v>
      </c>
      <c r="AL83" s="481">
        <f>IF(AN83=21,J83,0)</f>
        <v>0</v>
      </c>
      <c r="AN83" s="481">
        <v>21</v>
      </c>
      <c r="AO83" s="481">
        <f>G83*0</f>
        <v>0</v>
      </c>
      <c r="AP83" s="481">
        <f>G83*(1-0)</f>
        <v>0</v>
      </c>
      <c r="AQ83" s="483" t="s">
        <v>264</v>
      </c>
      <c r="AV83" s="481">
        <f>AW83+AX83</f>
        <v>0</v>
      </c>
      <c r="AW83" s="481">
        <f>F83*AO83</f>
        <v>0</v>
      </c>
      <c r="AX83" s="481">
        <f>F83*AP83</f>
        <v>0</v>
      </c>
      <c r="AY83" s="483" t="s">
        <v>286</v>
      </c>
      <c r="AZ83" s="483" t="s">
        <v>387</v>
      </c>
      <c r="BA83" s="456" t="s">
        <v>368</v>
      </c>
      <c r="BC83" s="481">
        <f>AW83+AX83</f>
        <v>0</v>
      </c>
      <c r="BD83" s="481">
        <f>G83/(100-BE83)*100</f>
        <v>0</v>
      </c>
      <c r="BE83" s="481">
        <v>0</v>
      </c>
      <c r="BF83" s="481">
        <f>83</f>
        <v>83</v>
      </c>
      <c r="BH83" s="481">
        <f>F83*AO83</f>
        <v>0</v>
      </c>
      <c r="BI83" s="481">
        <f>F83*AP83</f>
        <v>0</v>
      </c>
      <c r="BJ83" s="481">
        <f>F83*G83</f>
        <v>0</v>
      </c>
      <c r="BK83" s="481"/>
      <c r="BL83" s="481"/>
      <c r="BW83" s="481">
        <v>21</v>
      </c>
      <c r="BX83" s="484" t="s">
        <v>402</v>
      </c>
    </row>
    <row r="84" spans="1:76" x14ac:dyDescent="0.25">
      <c r="A84" s="473" t="s">
        <v>180</v>
      </c>
      <c r="B84" s="474" t="s">
        <v>678</v>
      </c>
      <c r="C84" s="475" t="s">
        <v>203</v>
      </c>
      <c r="D84" s="476"/>
      <c r="E84" s="477" t="s">
        <v>218</v>
      </c>
      <c r="F84" s="477" t="s">
        <v>218</v>
      </c>
      <c r="G84" s="477" t="s">
        <v>218</v>
      </c>
      <c r="H84" s="446">
        <f>SUM(H85:H93)</f>
        <v>0</v>
      </c>
      <c r="I84" s="446">
        <f>SUM(I85:I93)</f>
        <v>0</v>
      </c>
      <c r="J84" s="446">
        <f>SUM(J85:J93)</f>
        <v>0</v>
      </c>
      <c r="K84" s="478" t="s">
        <v>180</v>
      </c>
      <c r="AI84" s="456" t="s">
        <v>365</v>
      </c>
      <c r="AS84" s="446">
        <f>SUM(AJ85:AJ93)</f>
        <v>0</v>
      </c>
      <c r="AT84" s="446">
        <f>SUM(AK85:AK93)</f>
        <v>0</v>
      </c>
      <c r="AU84" s="446">
        <f>SUM(AL85:AL93)</f>
        <v>0</v>
      </c>
    </row>
    <row r="85" spans="1:76" x14ac:dyDescent="0.25">
      <c r="A85" s="479" t="s">
        <v>325</v>
      </c>
      <c r="B85" s="480" t="s">
        <v>465</v>
      </c>
      <c r="C85" s="399" t="s">
        <v>466</v>
      </c>
      <c r="D85" s="395"/>
      <c r="E85" s="480" t="s">
        <v>43</v>
      </c>
      <c r="F85" s="481">
        <v>488</v>
      </c>
      <c r="G85" s="504">
        <v>0</v>
      </c>
      <c r="H85" s="481">
        <f>F85*AO85</f>
        <v>0</v>
      </c>
      <c r="I85" s="481">
        <f>F85*AP85</f>
        <v>0</v>
      </c>
      <c r="J85" s="481">
        <f>F85*G85</f>
        <v>0</v>
      </c>
      <c r="K85" s="482" t="s">
        <v>312</v>
      </c>
      <c r="Z85" s="481">
        <f>IF(AQ85="5",BJ85,0)</f>
        <v>0</v>
      </c>
      <c r="AB85" s="481">
        <f>IF(AQ85="1",BH85,0)</f>
        <v>0</v>
      </c>
      <c r="AC85" s="481">
        <f>IF(AQ85="1",BI85,0)</f>
        <v>0</v>
      </c>
      <c r="AD85" s="481">
        <f>IF(AQ85="7",BH85,0)</f>
        <v>0</v>
      </c>
      <c r="AE85" s="481">
        <f>IF(AQ85="7",BI85,0)</f>
        <v>0</v>
      </c>
      <c r="AF85" s="481">
        <f>IF(AQ85="2",BH85,0)</f>
        <v>0</v>
      </c>
      <c r="AG85" s="481">
        <f>IF(AQ85="2",BI85,0)</f>
        <v>0</v>
      </c>
      <c r="AH85" s="481">
        <f>IF(AQ85="0",BJ85,0)</f>
        <v>0</v>
      </c>
      <c r="AI85" s="456" t="s">
        <v>365</v>
      </c>
      <c r="AJ85" s="481">
        <f>IF(AN85=0,J85,0)</f>
        <v>0</v>
      </c>
      <c r="AK85" s="481">
        <f>IF(AN85=15,J85,0)</f>
        <v>0</v>
      </c>
      <c r="AL85" s="481">
        <f>IF(AN85=21,J85,0)</f>
        <v>0</v>
      </c>
      <c r="AN85" s="481">
        <v>21</v>
      </c>
      <c r="AO85" s="481">
        <f>G85*1</f>
        <v>0</v>
      </c>
      <c r="AP85" s="481">
        <f>G85*(1-1)</f>
        <v>0</v>
      </c>
      <c r="AQ85" s="483" t="s">
        <v>295</v>
      </c>
      <c r="AV85" s="481">
        <f>AW85+AX85</f>
        <v>0</v>
      </c>
      <c r="AW85" s="481">
        <f>F85*AO85</f>
        <v>0</v>
      </c>
      <c r="AX85" s="481">
        <f>F85*AP85</f>
        <v>0</v>
      </c>
      <c r="AY85" s="483" t="s">
        <v>296</v>
      </c>
      <c r="AZ85" s="483" t="s">
        <v>388</v>
      </c>
      <c r="BA85" s="456" t="s">
        <v>368</v>
      </c>
      <c r="BC85" s="481">
        <f>AW85+AX85</f>
        <v>0</v>
      </c>
      <c r="BD85" s="481">
        <f>G85/(100-BE85)*100</f>
        <v>0</v>
      </c>
      <c r="BE85" s="481">
        <v>0</v>
      </c>
      <c r="BF85" s="481">
        <f>85</f>
        <v>85</v>
      </c>
      <c r="BH85" s="481">
        <f>F85*AO85</f>
        <v>0</v>
      </c>
      <c r="BI85" s="481">
        <f>F85*AP85</f>
        <v>0</v>
      </c>
      <c r="BJ85" s="481">
        <f>F85*G85</f>
        <v>0</v>
      </c>
      <c r="BK85" s="481"/>
      <c r="BL85" s="481"/>
      <c r="BW85" s="481">
        <v>21</v>
      </c>
      <c r="BX85" s="484" t="s">
        <v>466</v>
      </c>
    </row>
    <row r="86" spans="1:76" x14ac:dyDescent="0.25">
      <c r="A86" s="479" t="s">
        <v>326</v>
      </c>
      <c r="B86" s="480" t="s">
        <v>467</v>
      </c>
      <c r="C86" s="399" t="s">
        <v>468</v>
      </c>
      <c r="D86" s="395"/>
      <c r="E86" s="480" t="s">
        <v>43</v>
      </c>
      <c r="F86" s="481">
        <v>122</v>
      </c>
      <c r="G86" s="504">
        <v>0</v>
      </c>
      <c r="H86" s="481">
        <f>F86*AO86</f>
        <v>0</v>
      </c>
      <c r="I86" s="481">
        <f>F86*AP86</f>
        <v>0</v>
      </c>
      <c r="J86" s="481">
        <f>F86*G86</f>
        <v>0</v>
      </c>
      <c r="K86" s="482" t="s">
        <v>312</v>
      </c>
      <c r="Z86" s="481">
        <f>IF(AQ86="5",BJ86,0)</f>
        <v>0</v>
      </c>
      <c r="AB86" s="481">
        <f>IF(AQ86="1",BH86,0)</f>
        <v>0</v>
      </c>
      <c r="AC86" s="481">
        <f>IF(AQ86="1",BI86,0)</f>
        <v>0</v>
      </c>
      <c r="AD86" s="481">
        <f>IF(AQ86="7",BH86,0)</f>
        <v>0</v>
      </c>
      <c r="AE86" s="481">
        <f>IF(AQ86="7",BI86,0)</f>
        <v>0</v>
      </c>
      <c r="AF86" s="481">
        <f>IF(AQ86="2",BH86,0)</f>
        <v>0</v>
      </c>
      <c r="AG86" s="481">
        <f>IF(AQ86="2",BI86,0)</f>
        <v>0</v>
      </c>
      <c r="AH86" s="481">
        <f>IF(AQ86="0",BJ86,0)</f>
        <v>0</v>
      </c>
      <c r="AI86" s="456" t="s">
        <v>365</v>
      </c>
      <c r="AJ86" s="481">
        <f>IF(AN86=0,J86,0)</f>
        <v>0</v>
      </c>
      <c r="AK86" s="481">
        <f>IF(AN86=15,J86,0)</f>
        <v>0</v>
      </c>
      <c r="AL86" s="481">
        <f>IF(AN86=21,J86,0)</f>
        <v>0</v>
      </c>
      <c r="AN86" s="481">
        <v>21</v>
      </c>
      <c r="AO86" s="481">
        <f>G86*1</f>
        <v>0</v>
      </c>
      <c r="AP86" s="481">
        <f>G86*(1-1)</f>
        <v>0</v>
      </c>
      <c r="AQ86" s="483" t="s">
        <v>295</v>
      </c>
      <c r="AV86" s="481">
        <f>AW86+AX86</f>
        <v>0</v>
      </c>
      <c r="AW86" s="481">
        <f>F86*AO86</f>
        <v>0</v>
      </c>
      <c r="AX86" s="481">
        <f>F86*AP86</f>
        <v>0</v>
      </c>
      <c r="AY86" s="483" t="s">
        <v>296</v>
      </c>
      <c r="AZ86" s="483" t="s">
        <v>388</v>
      </c>
      <c r="BA86" s="456" t="s">
        <v>368</v>
      </c>
      <c r="BC86" s="481">
        <f>AW86+AX86</f>
        <v>0</v>
      </c>
      <c r="BD86" s="481">
        <f>G86/(100-BE86)*100</f>
        <v>0</v>
      </c>
      <c r="BE86" s="481">
        <v>0</v>
      </c>
      <c r="BF86" s="481">
        <f>86</f>
        <v>86</v>
      </c>
      <c r="BH86" s="481">
        <f>F86*AO86</f>
        <v>0</v>
      </c>
      <c r="BI86" s="481">
        <f>F86*AP86</f>
        <v>0</v>
      </c>
      <c r="BJ86" s="481">
        <f>F86*G86</f>
        <v>0</v>
      </c>
      <c r="BK86" s="481"/>
      <c r="BL86" s="481"/>
      <c r="BW86" s="481">
        <v>21</v>
      </c>
      <c r="BX86" s="484" t="s">
        <v>468</v>
      </c>
    </row>
    <row r="87" spans="1:76" x14ac:dyDescent="0.25">
      <c r="A87" s="479" t="s">
        <v>327</v>
      </c>
      <c r="B87" s="480" t="s">
        <v>469</v>
      </c>
      <c r="C87" s="399" t="s">
        <v>470</v>
      </c>
      <c r="D87" s="395"/>
      <c r="E87" s="480" t="s">
        <v>43</v>
      </c>
      <c r="F87" s="481">
        <v>61</v>
      </c>
      <c r="G87" s="504">
        <v>0</v>
      </c>
      <c r="H87" s="481">
        <f>F87*AO87</f>
        <v>0</v>
      </c>
      <c r="I87" s="481">
        <f>F87*AP87</f>
        <v>0</v>
      </c>
      <c r="J87" s="481">
        <f>F87*G87</f>
        <v>0</v>
      </c>
      <c r="K87" s="482" t="s">
        <v>312</v>
      </c>
      <c r="Z87" s="481">
        <f>IF(AQ87="5",BJ87,0)</f>
        <v>0</v>
      </c>
      <c r="AB87" s="481">
        <f>IF(AQ87="1",BH87,0)</f>
        <v>0</v>
      </c>
      <c r="AC87" s="481">
        <f>IF(AQ87="1",BI87,0)</f>
        <v>0</v>
      </c>
      <c r="AD87" s="481">
        <f>IF(AQ87="7",BH87,0)</f>
        <v>0</v>
      </c>
      <c r="AE87" s="481">
        <f>IF(AQ87="7",BI87,0)</f>
        <v>0</v>
      </c>
      <c r="AF87" s="481">
        <f>IF(AQ87="2",BH87,0)</f>
        <v>0</v>
      </c>
      <c r="AG87" s="481">
        <f>IF(AQ87="2",BI87,0)</f>
        <v>0</v>
      </c>
      <c r="AH87" s="481">
        <f>IF(AQ87="0",BJ87,0)</f>
        <v>0</v>
      </c>
      <c r="AI87" s="456" t="s">
        <v>365</v>
      </c>
      <c r="AJ87" s="481">
        <f>IF(AN87=0,J87,0)</f>
        <v>0</v>
      </c>
      <c r="AK87" s="481">
        <f>IF(AN87=15,J87,0)</f>
        <v>0</v>
      </c>
      <c r="AL87" s="481">
        <f>IF(AN87=21,J87,0)</f>
        <v>0</v>
      </c>
      <c r="AN87" s="481">
        <v>21</v>
      </c>
      <c r="AO87" s="481">
        <f>G87*1</f>
        <v>0</v>
      </c>
      <c r="AP87" s="481">
        <f>G87*(1-1)</f>
        <v>0</v>
      </c>
      <c r="AQ87" s="483" t="s">
        <v>295</v>
      </c>
      <c r="AV87" s="481">
        <f>AW87+AX87</f>
        <v>0</v>
      </c>
      <c r="AW87" s="481">
        <f>F87*AO87</f>
        <v>0</v>
      </c>
      <c r="AX87" s="481">
        <f>F87*AP87</f>
        <v>0</v>
      </c>
      <c r="AY87" s="483" t="s">
        <v>296</v>
      </c>
      <c r="AZ87" s="483" t="s">
        <v>388</v>
      </c>
      <c r="BA87" s="456" t="s">
        <v>368</v>
      </c>
      <c r="BC87" s="481">
        <f>AW87+AX87</f>
        <v>0</v>
      </c>
      <c r="BD87" s="481">
        <f>G87/(100-BE87)*100</f>
        <v>0</v>
      </c>
      <c r="BE87" s="481">
        <v>0</v>
      </c>
      <c r="BF87" s="481">
        <f>87</f>
        <v>87</v>
      </c>
      <c r="BH87" s="481">
        <f>F87*AO87</f>
        <v>0</v>
      </c>
      <c r="BI87" s="481">
        <f>F87*AP87</f>
        <v>0</v>
      </c>
      <c r="BJ87" s="481">
        <f>F87*G87</f>
        <v>0</v>
      </c>
      <c r="BK87" s="481"/>
      <c r="BL87" s="481"/>
      <c r="BW87" s="481">
        <v>21</v>
      </c>
      <c r="BX87" s="484" t="s">
        <v>470</v>
      </c>
    </row>
    <row r="88" spans="1:76" x14ac:dyDescent="0.25">
      <c r="A88" s="479" t="s">
        <v>328</v>
      </c>
      <c r="B88" s="480" t="s">
        <v>332</v>
      </c>
      <c r="C88" s="399" t="s">
        <v>471</v>
      </c>
      <c r="D88" s="395"/>
      <c r="E88" s="480" t="s">
        <v>291</v>
      </c>
      <c r="F88" s="481">
        <v>12</v>
      </c>
      <c r="G88" s="504">
        <v>0</v>
      </c>
      <c r="H88" s="481">
        <f>F88*AO88</f>
        <v>0</v>
      </c>
      <c r="I88" s="481">
        <f>F88*AP88</f>
        <v>0</v>
      </c>
      <c r="J88" s="481">
        <f>F88*G88</f>
        <v>0</v>
      </c>
      <c r="K88" s="482" t="s">
        <v>312</v>
      </c>
      <c r="Z88" s="481">
        <f>IF(AQ88="5",BJ88,0)</f>
        <v>0</v>
      </c>
      <c r="AB88" s="481">
        <f>IF(AQ88="1",BH88,0)</f>
        <v>0</v>
      </c>
      <c r="AC88" s="481">
        <f>IF(AQ88="1",BI88,0)</f>
        <v>0</v>
      </c>
      <c r="AD88" s="481">
        <f>IF(AQ88="7",BH88,0)</f>
        <v>0</v>
      </c>
      <c r="AE88" s="481">
        <f>IF(AQ88="7",BI88,0)</f>
        <v>0</v>
      </c>
      <c r="AF88" s="481">
        <f>IF(AQ88="2",BH88,0)</f>
        <v>0</v>
      </c>
      <c r="AG88" s="481">
        <f>IF(AQ88="2",BI88,0)</f>
        <v>0</v>
      </c>
      <c r="AH88" s="481">
        <f>IF(AQ88="0",BJ88,0)</f>
        <v>0</v>
      </c>
      <c r="AI88" s="456" t="s">
        <v>365</v>
      </c>
      <c r="AJ88" s="481">
        <f>IF(AN88=0,J88,0)</f>
        <v>0</v>
      </c>
      <c r="AK88" s="481">
        <f>IF(AN88=15,J88,0)</f>
        <v>0</v>
      </c>
      <c r="AL88" s="481">
        <f>IF(AN88=21,J88,0)</f>
        <v>0</v>
      </c>
      <c r="AN88" s="481">
        <v>21</v>
      </c>
      <c r="AO88" s="481">
        <f>G88*1</f>
        <v>0</v>
      </c>
      <c r="AP88" s="481">
        <f>G88*(1-1)</f>
        <v>0</v>
      </c>
      <c r="AQ88" s="483" t="s">
        <v>295</v>
      </c>
      <c r="AV88" s="481">
        <f>AW88+AX88</f>
        <v>0</v>
      </c>
      <c r="AW88" s="481">
        <f>F88*AO88</f>
        <v>0</v>
      </c>
      <c r="AX88" s="481">
        <f>F88*AP88</f>
        <v>0</v>
      </c>
      <c r="AY88" s="483" t="s">
        <v>296</v>
      </c>
      <c r="AZ88" s="483" t="s">
        <v>388</v>
      </c>
      <c r="BA88" s="456" t="s">
        <v>368</v>
      </c>
      <c r="BC88" s="481">
        <f>AW88+AX88</f>
        <v>0</v>
      </c>
      <c r="BD88" s="481">
        <f>G88/(100-BE88)*100</f>
        <v>0</v>
      </c>
      <c r="BE88" s="481">
        <v>0</v>
      </c>
      <c r="BF88" s="481">
        <f>88</f>
        <v>88</v>
      </c>
      <c r="BH88" s="481">
        <f>F88*AO88</f>
        <v>0</v>
      </c>
      <c r="BI88" s="481">
        <f>F88*AP88</f>
        <v>0</v>
      </c>
      <c r="BJ88" s="481">
        <f>F88*G88</f>
        <v>0</v>
      </c>
      <c r="BK88" s="481"/>
      <c r="BL88" s="481"/>
      <c r="BW88" s="481">
        <v>21</v>
      </c>
      <c r="BX88" s="484" t="s">
        <v>471</v>
      </c>
    </row>
    <row r="89" spans="1:76" ht="25.5" x14ac:dyDescent="0.25">
      <c r="A89" s="479" t="s">
        <v>329</v>
      </c>
      <c r="B89" s="480" t="s">
        <v>472</v>
      </c>
      <c r="C89" s="399" t="s">
        <v>473</v>
      </c>
      <c r="D89" s="395"/>
      <c r="E89" s="480" t="s">
        <v>43</v>
      </c>
      <c r="F89" s="481">
        <v>6.3</v>
      </c>
      <c r="G89" s="504">
        <v>0</v>
      </c>
      <c r="H89" s="481">
        <f>F89*AO89</f>
        <v>0</v>
      </c>
      <c r="I89" s="481">
        <f>F89*AP89</f>
        <v>0</v>
      </c>
      <c r="J89" s="481">
        <f>F89*G89</f>
        <v>0</v>
      </c>
      <c r="K89" s="482" t="s">
        <v>312</v>
      </c>
      <c r="Z89" s="481">
        <f>IF(AQ89="5",BJ89,0)</f>
        <v>0</v>
      </c>
      <c r="AB89" s="481">
        <f>IF(AQ89="1",BH89,0)</f>
        <v>0</v>
      </c>
      <c r="AC89" s="481">
        <f>IF(AQ89="1",BI89,0)</f>
        <v>0</v>
      </c>
      <c r="AD89" s="481">
        <f>IF(AQ89="7",BH89,0)</f>
        <v>0</v>
      </c>
      <c r="AE89" s="481">
        <f>IF(AQ89="7",BI89,0)</f>
        <v>0</v>
      </c>
      <c r="AF89" s="481">
        <f>IF(AQ89="2",BH89,0)</f>
        <v>0</v>
      </c>
      <c r="AG89" s="481">
        <f>IF(AQ89="2",BI89,0)</f>
        <v>0</v>
      </c>
      <c r="AH89" s="481">
        <f>IF(AQ89="0",BJ89,0)</f>
        <v>0</v>
      </c>
      <c r="AI89" s="456" t="s">
        <v>365</v>
      </c>
      <c r="AJ89" s="481">
        <f>IF(AN89=0,J89,0)</f>
        <v>0</v>
      </c>
      <c r="AK89" s="481">
        <f>IF(AN89=15,J89,0)</f>
        <v>0</v>
      </c>
      <c r="AL89" s="481">
        <f>IF(AN89=21,J89,0)</f>
        <v>0</v>
      </c>
      <c r="AN89" s="481">
        <v>21</v>
      </c>
      <c r="AO89" s="481">
        <f>G89*1</f>
        <v>0</v>
      </c>
      <c r="AP89" s="481">
        <f>G89*(1-1)</f>
        <v>0</v>
      </c>
      <c r="AQ89" s="483" t="s">
        <v>295</v>
      </c>
      <c r="AV89" s="481">
        <f>AW89+AX89</f>
        <v>0</v>
      </c>
      <c r="AW89" s="481">
        <f>F89*AO89</f>
        <v>0</v>
      </c>
      <c r="AX89" s="481">
        <f>F89*AP89</f>
        <v>0</v>
      </c>
      <c r="AY89" s="483" t="s">
        <v>296</v>
      </c>
      <c r="AZ89" s="483" t="s">
        <v>388</v>
      </c>
      <c r="BA89" s="456" t="s">
        <v>368</v>
      </c>
      <c r="BC89" s="481">
        <f>AW89+AX89</f>
        <v>0</v>
      </c>
      <c r="BD89" s="481">
        <f>G89/(100-BE89)*100</f>
        <v>0</v>
      </c>
      <c r="BE89" s="481">
        <v>0</v>
      </c>
      <c r="BF89" s="481">
        <f>89</f>
        <v>89</v>
      </c>
      <c r="BH89" s="481">
        <f>F89*AO89</f>
        <v>0</v>
      </c>
      <c r="BI89" s="481">
        <f>F89*AP89</f>
        <v>0</v>
      </c>
      <c r="BJ89" s="481">
        <f>F89*G89</f>
        <v>0</v>
      </c>
      <c r="BK89" s="481"/>
      <c r="BL89" s="481"/>
      <c r="BW89" s="481">
        <v>21</v>
      </c>
      <c r="BX89" s="484" t="s">
        <v>473</v>
      </c>
    </row>
    <row r="90" spans="1:76" ht="40.5" customHeight="1" x14ac:dyDescent="0.25">
      <c r="A90" s="485"/>
      <c r="B90" s="486" t="s">
        <v>214</v>
      </c>
      <c r="C90" s="487" t="s">
        <v>1324</v>
      </c>
      <c r="D90" s="488"/>
      <c r="E90" s="488"/>
      <c r="F90" s="488"/>
      <c r="G90" s="488"/>
      <c r="H90" s="488"/>
      <c r="I90" s="488"/>
      <c r="J90" s="488"/>
      <c r="K90" s="489"/>
    </row>
    <row r="91" spans="1:76" ht="25.5" x14ac:dyDescent="0.25">
      <c r="A91" s="479" t="s">
        <v>330</v>
      </c>
      <c r="B91" s="480" t="s">
        <v>474</v>
      </c>
      <c r="C91" s="399" t="s">
        <v>475</v>
      </c>
      <c r="D91" s="395"/>
      <c r="E91" s="480" t="s">
        <v>43</v>
      </c>
      <c r="F91" s="481">
        <v>85</v>
      </c>
      <c r="G91" s="504">
        <v>0</v>
      </c>
      <c r="H91" s="481">
        <f>F91*AO91</f>
        <v>0</v>
      </c>
      <c r="I91" s="481">
        <f>F91*AP91</f>
        <v>0</v>
      </c>
      <c r="J91" s="481">
        <f>F91*G91</f>
        <v>0</v>
      </c>
      <c r="K91" s="482" t="s">
        <v>256</v>
      </c>
      <c r="Z91" s="481">
        <f>IF(AQ91="5",BJ91,0)</f>
        <v>0</v>
      </c>
      <c r="AB91" s="481">
        <f>IF(AQ91="1",BH91,0)</f>
        <v>0</v>
      </c>
      <c r="AC91" s="481">
        <f>IF(AQ91="1",BI91,0)</f>
        <v>0</v>
      </c>
      <c r="AD91" s="481">
        <f>IF(AQ91="7",BH91,0)</f>
        <v>0</v>
      </c>
      <c r="AE91" s="481">
        <f>IF(AQ91="7",BI91,0)</f>
        <v>0</v>
      </c>
      <c r="AF91" s="481">
        <f>IF(AQ91="2",BH91,0)</f>
        <v>0</v>
      </c>
      <c r="AG91" s="481">
        <f>IF(AQ91="2",BI91,0)</f>
        <v>0</v>
      </c>
      <c r="AH91" s="481">
        <f>IF(AQ91="0",BJ91,0)</f>
        <v>0</v>
      </c>
      <c r="AI91" s="456" t="s">
        <v>365</v>
      </c>
      <c r="AJ91" s="481">
        <f>IF(AN91=0,J91,0)</f>
        <v>0</v>
      </c>
      <c r="AK91" s="481">
        <f>IF(AN91=15,J91,0)</f>
        <v>0</v>
      </c>
      <c r="AL91" s="481">
        <f>IF(AN91=21,J91,0)</f>
        <v>0</v>
      </c>
      <c r="AN91" s="481">
        <v>21</v>
      </c>
      <c r="AO91" s="481">
        <f>G91*1</f>
        <v>0</v>
      </c>
      <c r="AP91" s="481">
        <f>G91*(1-1)</f>
        <v>0</v>
      </c>
      <c r="AQ91" s="483" t="s">
        <v>295</v>
      </c>
      <c r="AV91" s="481">
        <f>AW91+AX91</f>
        <v>0</v>
      </c>
      <c r="AW91" s="481">
        <f>F91*AO91</f>
        <v>0</v>
      </c>
      <c r="AX91" s="481">
        <f>F91*AP91</f>
        <v>0</v>
      </c>
      <c r="AY91" s="483" t="s">
        <v>296</v>
      </c>
      <c r="AZ91" s="483" t="s">
        <v>388</v>
      </c>
      <c r="BA91" s="456" t="s">
        <v>368</v>
      </c>
      <c r="BC91" s="481">
        <f>AW91+AX91</f>
        <v>0</v>
      </c>
      <c r="BD91" s="481">
        <f>G91/(100-BE91)*100</f>
        <v>0</v>
      </c>
      <c r="BE91" s="481">
        <v>0</v>
      </c>
      <c r="BF91" s="481">
        <f>91</f>
        <v>91</v>
      </c>
      <c r="BH91" s="481">
        <f>F91*AO91</f>
        <v>0</v>
      </c>
      <c r="BI91" s="481">
        <f>F91*AP91</f>
        <v>0</v>
      </c>
      <c r="BJ91" s="481">
        <f>F91*G91</f>
        <v>0</v>
      </c>
      <c r="BK91" s="481"/>
      <c r="BL91" s="481"/>
      <c r="BW91" s="481">
        <v>21</v>
      </c>
      <c r="BX91" s="484" t="s">
        <v>475</v>
      </c>
    </row>
    <row r="92" spans="1:76" ht="25.5" x14ac:dyDescent="0.25">
      <c r="A92" s="479" t="s">
        <v>331</v>
      </c>
      <c r="B92" s="480" t="s">
        <v>476</v>
      </c>
      <c r="C92" s="399" t="s">
        <v>477</v>
      </c>
      <c r="D92" s="395"/>
      <c r="E92" s="480" t="s">
        <v>255</v>
      </c>
      <c r="F92" s="481">
        <v>278</v>
      </c>
      <c r="G92" s="504">
        <v>0</v>
      </c>
      <c r="H92" s="481">
        <f>F92*AO92</f>
        <v>0</v>
      </c>
      <c r="I92" s="481">
        <f>F92*AP92</f>
        <v>0</v>
      </c>
      <c r="J92" s="481">
        <f>F92*G92</f>
        <v>0</v>
      </c>
      <c r="K92" s="482" t="s">
        <v>312</v>
      </c>
      <c r="Z92" s="481">
        <f>IF(AQ92="5",BJ92,0)</f>
        <v>0</v>
      </c>
      <c r="AB92" s="481">
        <f>IF(AQ92="1",BH92,0)</f>
        <v>0</v>
      </c>
      <c r="AC92" s="481">
        <f>IF(AQ92="1",BI92,0)</f>
        <v>0</v>
      </c>
      <c r="AD92" s="481">
        <f>IF(AQ92="7",BH92,0)</f>
        <v>0</v>
      </c>
      <c r="AE92" s="481">
        <f>IF(AQ92="7",BI92,0)</f>
        <v>0</v>
      </c>
      <c r="AF92" s="481">
        <f>IF(AQ92="2",BH92,0)</f>
        <v>0</v>
      </c>
      <c r="AG92" s="481">
        <f>IF(AQ92="2",BI92,0)</f>
        <v>0</v>
      </c>
      <c r="AH92" s="481">
        <f>IF(AQ92="0",BJ92,0)</f>
        <v>0</v>
      </c>
      <c r="AI92" s="456" t="s">
        <v>365</v>
      </c>
      <c r="AJ92" s="481">
        <f>IF(AN92=0,J92,0)</f>
        <v>0</v>
      </c>
      <c r="AK92" s="481">
        <f>IF(AN92=15,J92,0)</f>
        <v>0</v>
      </c>
      <c r="AL92" s="481">
        <f>IF(AN92=21,J92,0)</f>
        <v>0</v>
      </c>
      <c r="AN92" s="481">
        <v>21</v>
      </c>
      <c r="AO92" s="481">
        <f>G92*1</f>
        <v>0</v>
      </c>
      <c r="AP92" s="481">
        <f>G92*(1-1)</f>
        <v>0</v>
      </c>
      <c r="AQ92" s="483" t="s">
        <v>295</v>
      </c>
      <c r="AV92" s="481">
        <f>AW92+AX92</f>
        <v>0</v>
      </c>
      <c r="AW92" s="481">
        <f>F92*AO92</f>
        <v>0</v>
      </c>
      <c r="AX92" s="481">
        <f>F92*AP92</f>
        <v>0</v>
      </c>
      <c r="AY92" s="483" t="s">
        <v>296</v>
      </c>
      <c r="AZ92" s="483" t="s">
        <v>388</v>
      </c>
      <c r="BA92" s="456" t="s">
        <v>368</v>
      </c>
      <c r="BC92" s="481">
        <f>AW92+AX92</f>
        <v>0</v>
      </c>
      <c r="BD92" s="481">
        <f>G92/(100-BE92)*100</f>
        <v>0</v>
      </c>
      <c r="BE92" s="481">
        <v>0</v>
      </c>
      <c r="BF92" s="481">
        <f>92</f>
        <v>92</v>
      </c>
      <c r="BH92" s="481">
        <f>F92*AO92</f>
        <v>0</v>
      </c>
      <c r="BI92" s="481">
        <f>F92*AP92</f>
        <v>0</v>
      </c>
      <c r="BJ92" s="481">
        <f>F92*G92</f>
        <v>0</v>
      </c>
      <c r="BK92" s="481"/>
      <c r="BL92" s="481"/>
      <c r="BW92" s="481">
        <v>21</v>
      </c>
      <c r="BX92" s="484" t="s">
        <v>477</v>
      </c>
    </row>
    <row r="93" spans="1:76" x14ac:dyDescent="0.25">
      <c r="A93" s="479" t="s">
        <v>333</v>
      </c>
      <c r="B93" s="480" t="s">
        <v>319</v>
      </c>
      <c r="C93" s="399" t="s">
        <v>320</v>
      </c>
      <c r="D93" s="395"/>
      <c r="E93" s="480" t="s">
        <v>291</v>
      </c>
      <c r="F93" s="481">
        <v>24</v>
      </c>
      <c r="G93" s="504">
        <v>0</v>
      </c>
      <c r="H93" s="481">
        <f>F93*AO93</f>
        <v>0</v>
      </c>
      <c r="I93" s="481">
        <f>F93*AP93</f>
        <v>0</v>
      </c>
      <c r="J93" s="481">
        <f>F93*G93</f>
        <v>0</v>
      </c>
      <c r="K93" s="482" t="s">
        <v>256</v>
      </c>
      <c r="Z93" s="481">
        <f>IF(AQ93="5",BJ93,0)</f>
        <v>0</v>
      </c>
      <c r="AB93" s="481">
        <f>IF(AQ93="1",BH93,0)</f>
        <v>0</v>
      </c>
      <c r="AC93" s="481">
        <f>IF(AQ93="1",BI93,0)</f>
        <v>0</v>
      </c>
      <c r="AD93" s="481">
        <f>IF(AQ93="7",BH93,0)</f>
        <v>0</v>
      </c>
      <c r="AE93" s="481">
        <f>IF(AQ93="7",BI93,0)</f>
        <v>0</v>
      </c>
      <c r="AF93" s="481">
        <f>IF(AQ93="2",BH93,0)</f>
        <v>0</v>
      </c>
      <c r="AG93" s="481">
        <f>IF(AQ93="2",BI93,0)</f>
        <v>0</v>
      </c>
      <c r="AH93" s="481">
        <f>IF(AQ93="0",BJ93,0)</f>
        <v>0</v>
      </c>
      <c r="AI93" s="456" t="s">
        <v>365</v>
      </c>
      <c r="AJ93" s="481">
        <f>IF(AN93=0,J93,0)</f>
        <v>0</v>
      </c>
      <c r="AK93" s="481">
        <f>IF(AN93=15,J93,0)</f>
        <v>0</v>
      </c>
      <c r="AL93" s="481">
        <f>IF(AN93=21,J93,0)</f>
        <v>0</v>
      </c>
      <c r="AN93" s="481">
        <v>21</v>
      </c>
      <c r="AO93" s="481">
        <f>G93*1</f>
        <v>0</v>
      </c>
      <c r="AP93" s="481">
        <f>G93*(1-1)</f>
        <v>0</v>
      </c>
      <c r="AQ93" s="483" t="s">
        <v>295</v>
      </c>
      <c r="AV93" s="481">
        <f>AW93+AX93</f>
        <v>0</v>
      </c>
      <c r="AW93" s="481">
        <f>F93*AO93</f>
        <v>0</v>
      </c>
      <c r="AX93" s="481">
        <f>F93*AP93</f>
        <v>0</v>
      </c>
      <c r="AY93" s="483" t="s">
        <v>296</v>
      </c>
      <c r="AZ93" s="483" t="s">
        <v>388</v>
      </c>
      <c r="BA93" s="456" t="s">
        <v>368</v>
      </c>
      <c r="BC93" s="481">
        <f>AW93+AX93</f>
        <v>0</v>
      </c>
      <c r="BD93" s="481">
        <f>G93/(100-BE93)*100</f>
        <v>0</v>
      </c>
      <c r="BE93" s="481">
        <v>0</v>
      </c>
      <c r="BF93" s="481">
        <f>93</f>
        <v>93</v>
      </c>
      <c r="BH93" s="481">
        <f>F93*AO93</f>
        <v>0</v>
      </c>
      <c r="BI93" s="481">
        <f>F93*AP93</f>
        <v>0</v>
      </c>
      <c r="BJ93" s="481">
        <f>F93*G93</f>
        <v>0</v>
      </c>
      <c r="BK93" s="481"/>
      <c r="BL93" s="481"/>
      <c r="BW93" s="481">
        <v>21</v>
      </c>
      <c r="BX93" s="484" t="s">
        <v>320</v>
      </c>
    </row>
    <row r="94" spans="1:76" ht="13.5" customHeight="1" x14ac:dyDescent="0.25">
      <c r="A94" s="485"/>
      <c r="B94" s="486" t="s">
        <v>214</v>
      </c>
      <c r="C94" s="487" t="s">
        <v>478</v>
      </c>
      <c r="D94" s="488"/>
      <c r="E94" s="488"/>
      <c r="F94" s="488"/>
      <c r="G94" s="488"/>
      <c r="H94" s="488"/>
      <c r="I94" s="488"/>
      <c r="J94" s="488"/>
      <c r="K94" s="489"/>
    </row>
    <row r="95" spans="1:76" x14ac:dyDescent="0.25">
      <c r="A95" s="466" t="s">
        <v>180</v>
      </c>
      <c r="B95" s="467" t="s">
        <v>180</v>
      </c>
      <c r="C95" s="468" t="s">
        <v>479</v>
      </c>
      <c r="D95" s="469"/>
      <c r="E95" s="470" t="s">
        <v>218</v>
      </c>
      <c r="F95" s="470" t="s">
        <v>218</v>
      </c>
      <c r="G95" s="470" t="s">
        <v>218</v>
      </c>
      <c r="H95" s="471">
        <f>H96+H101+H103+H105+H107</f>
        <v>0</v>
      </c>
      <c r="I95" s="471">
        <f>I96+I101+I103+I105+I107</f>
        <v>0</v>
      </c>
      <c r="J95" s="471">
        <f>J96+J101+J103+J105+J107</f>
        <v>0</v>
      </c>
      <c r="K95" s="472" t="s">
        <v>180</v>
      </c>
    </row>
    <row r="96" spans="1:76" x14ac:dyDescent="0.25">
      <c r="A96" s="473" t="s">
        <v>180</v>
      </c>
      <c r="B96" s="474" t="s">
        <v>269</v>
      </c>
      <c r="C96" s="475" t="s">
        <v>270</v>
      </c>
      <c r="D96" s="476"/>
      <c r="E96" s="477" t="s">
        <v>218</v>
      </c>
      <c r="F96" s="477" t="s">
        <v>218</v>
      </c>
      <c r="G96" s="477" t="s">
        <v>218</v>
      </c>
      <c r="H96" s="446">
        <f>SUM(H97:H100)</f>
        <v>0</v>
      </c>
      <c r="I96" s="446">
        <f>SUM(I97:I100)</f>
        <v>0</v>
      </c>
      <c r="J96" s="446">
        <f>SUM(J97:J100)</f>
        <v>0</v>
      </c>
      <c r="K96" s="478" t="s">
        <v>180</v>
      </c>
      <c r="AI96" s="456" t="s">
        <v>390</v>
      </c>
      <c r="AS96" s="446">
        <f>SUM(AJ97:AJ100)</f>
        <v>0</v>
      </c>
      <c r="AT96" s="446">
        <f>SUM(AK97:AK100)</f>
        <v>0</v>
      </c>
      <c r="AU96" s="446">
        <f>SUM(AL97:AL100)</f>
        <v>0</v>
      </c>
    </row>
    <row r="97" spans="1:76" x14ac:dyDescent="0.25">
      <c r="A97" s="479" t="s">
        <v>335</v>
      </c>
      <c r="B97" s="480" t="s">
        <v>339</v>
      </c>
      <c r="C97" s="399" t="s">
        <v>480</v>
      </c>
      <c r="D97" s="395"/>
      <c r="E97" s="480" t="s">
        <v>291</v>
      </c>
      <c r="F97" s="481">
        <v>10.199999999999999</v>
      </c>
      <c r="G97" s="504">
        <v>0</v>
      </c>
      <c r="H97" s="481">
        <f>F97*AO97</f>
        <v>0</v>
      </c>
      <c r="I97" s="481">
        <f>F97*AP97</f>
        <v>0</v>
      </c>
      <c r="J97" s="481">
        <f>F97*G97</f>
        <v>0</v>
      </c>
      <c r="K97" s="482" t="s">
        <v>256</v>
      </c>
      <c r="Z97" s="481">
        <f>IF(AQ97="5",BJ97,0)</f>
        <v>0</v>
      </c>
      <c r="AB97" s="481">
        <f>IF(AQ97="1",BH97,0)</f>
        <v>0</v>
      </c>
      <c r="AC97" s="481">
        <f>IF(AQ97="1",BI97,0)</f>
        <v>0</v>
      </c>
      <c r="AD97" s="481">
        <f>IF(AQ97="7",BH97,0)</f>
        <v>0</v>
      </c>
      <c r="AE97" s="481">
        <f>IF(AQ97="7",BI97,0)</f>
        <v>0</v>
      </c>
      <c r="AF97" s="481">
        <f>IF(AQ97="2",BH97,0)</f>
        <v>0</v>
      </c>
      <c r="AG97" s="481">
        <f>IF(AQ97="2",BI97,0)</f>
        <v>0</v>
      </c>
      <c r="AH97" s="481">
        <f>IF(AQ97="0",BJ97,0)</f>
        <v>0</v>
      </c>
      <c r="AI97" s="456" t="s">
        <v>390</v>
      </c>
      <c r="AJ97" s="481">
        <f>IF(AN97=0,J97,0)</f>
        <v>0</v>
      </c>
      <c r="AK97" s="481">
        <f>IF(AN97=15,J97,0)</f>
        <v>0</v>
      </c>
      <c r="AL97" s="481">
        <f>IF(AN97=21,J97,0)</f>
        <v>0</v>
      </c>
      <c r="AN97" s="481">
        <v>21</v>
      </c>
      <c r="AO97" s="481">
        <f>G97*0</f>
        <v>0</v>
      </c>
      <c r="AP97" s="481">
        <f>G97*(1-0)</f>
        <v>0</v>
      </c>
      <c r="AQ97" s="483" t="s">
        <v>254</v>
      </c>
      <c r="AV97" s="481">
        <f>AW97+AX97</f>
        <v>0</v>
      </c>
      <c r="AW97" s="481">
        <f>F97*AO97</f>
        <v>0</v>
      </c>
      <c r="AX97" s="481">
        <f>F97*AP97</f>
        <v>0</v>
      </c>
      <c r="AY97" s="483" t="s">
        <v>272</v>
      </c>
      <c r="AZ97" s="483" t="s">
        <v>391</v>
      </c>
      <c r="BA97" s="456" t="s">
        <v>392</v>
      </c>
      <c r="BC97" s="481">
        <f>AW97+AX97</f>
        <v>0</v>
      </c>
      <c r="BD97" s="481">
        <f>G97/(100-BE97)*100</f>
        <v>0</v>
      </c>
      <c r="BE97" s="481">
        <v>0</v>
      </c>
      <c r="BF97" s="481">
        <f>97</f>
        <v>97</v>
      </c>
      <c r="BH97" s="481">
        <f>F97*AO97</f>
        <v>0</v>
      </c>
      <c r="BI97" s="481">
        <f>F97*AP97</f>
        <v>0</v>
      </c>
      <c r="BJ97" s="481">
        <f>F97*G97</f>
        <v>0</v>
      </c>
      <c r="BK97" s="481"/>
      <c r="BL97" s="481">
        <v>16</v>
      </c>
      <c r="BW97" s="481">
        <v>21</v>
      </c>
      <c r="BX97" s="484" t="s">
        <v>480</v>
      </c>
    </row>
    <row r="98" spans="1:76" ht="13.5" customHeight="1" x14ac:dyDescent="0.25">
      <c r="A98" s="485"/>
      <c r="B98" s="486" t="s">
        <v>214</v>
      </c>
      <c r="C98" s="487" t="s">
        <v>449</v>
      </c>
      <c r="D98" s="488"/>
      <c r="E98" s="488"/>
      <c r="F98" s="488"/>
      <c r="G98" s="488"/>
      <c r="H98" s="488"/>
      <c r="I98" s="488"/>
      <c r="J98" s="488"/>
      <c r="K98" s="489"/>
    </row>
    <row r="99" spans="1:76" x14ac:dyDescent="0.25">
      <c r="A99" s="479" t="s">
        <v>338</v>
      </c>
      <c r="B99" s="480" t="s">
        <v>302</v>
      </c>
      <c r="C99" s="399" t="s">
        <v>481</v>
      </c>
      <c r="D99" s="395"/>
      <c r="E99" s="480" t="s">
        <v>291</v>
      </c>
      <c r="F99" s="481">
        <v>12.5</v>
      </c>
      <c r="G99" s="504">
        <v>0</v>
      </c>
      <c r="H99" s="481">
        <f>F99*AO99</f>
        <v>0</v>
      </c>
      <c r="I99" s="481">
        <f>F99*AP99</f>
        <v>0</v>
      </c>
      <c r="J99" s="481">
        <f>F99*G99</f>
        <v>0</v>
      </c>
      <c r="K99" s="482" t="s">
        <v>256</v>
      </c>
      <c r="Z99" s="481">
        <f>IF(AQ99="5",BJ99,0)</f>
        <v>0</v>
      </c>
      <c r="AB99" s="481">
        <f>IF(AQ99="1",BH99,0)</f>
        <v>0</v>
      </c>
      <c r="AC99" s="481">
        <f>IF(AQ99="1",BI99,0)</f>
        <v>0</v>
      </c>
      <c r="AD99" s="481">
        <f>IF(AQ99="7",BH99,0)</f>
        <v>0</v>
      </c>
      <c r="AE99" s="481">
        <f>IF(AQ99="7",BI99,0)</f>
        <v>0</v>
      </c>
      <c r="AF99" s="481">
        <f>IF(AQ99="2",BH99,0)</f>
        <v>0</v>
      </c>
      <c r="AG99" s="481">
        <f>IF(AQ99="2",BI99,0)</f>
        <v>0</v>
      </c>
      <c r="AH99" s="481">
        <f>IF(AQ99="0",BJ99,0)</f>
        <v>0</v>
      </c>
      <c r="AI99" s="456" t="s">
        <v>390</v>
      </c>
      <c r="AJ99" s="481">
        <f>IF(AN99=0,J99,0)</f>
        <v>0</v>
      </c>
      <c r="AK99" s="481">
        <f>IF(AN99=15,J99,0)</f>
        <v>0</v>
      </c>
      <c r="AL99" s="481">
        <f>IF(AN99=21,J99,0)</f>
        <v>0</v>
      </c>
      <c r="AN99" s="481">
        <v>21</v>
      </c>
      <c r="AO99" s="481">
        <f>G99*0</f>
        <v>0</v>
      </c>
      <c r="AP99" s="481">
        <f>G99*(1-0)</f>
        <v>0</v>
      </c>
      <c r="AQ99" s="483" t="s">
        <v>254</v>
      </c>
      <c r="AV99" s="481">
        <f>AW99+AX99</f>
        <v>0</v>
      </c>
      <c r="AW99" s="481">
        <f>F99*AO99</f>
        <v>0</v>
      </c>
      <c r="AX99" s="481">
        <f>F99*AP99</f>
        <v>0</v>
      </c>
      <c r="AY99" s="483" t="s">
        <v>272</v>
      </c>
      <c r="AZ99" s="483" t="s">
        <v>391</v>
      </c>
      <c r="BA99" s="456" t="s">
        <v>392</v>
      </c>
      <c r="BC99" s="481">
        <f>AW99+AX99</f>
        <v>0</v>
      </c>
      <c r="BD99" s="481">
        <f>G99/(100-BE99)*100</f>
        <v>0</v>
      </c>
      <c r="BE99" s="481">
        <v>0</v>
      </c>
      <c r="BF99" s="481">
        <f>99</f>
        <v>99</v>
      </c>
      <c r="BH99" s="481">
        <f>F99*AO99</f>
        <v>0</v>
      </c>
      <c r="BI99" s="481">
        <f>F99*AP99</f>
        <v>0</v>
      </c>
      <c r="BJ99" s="481">
        <f>F99*G99</f>
        <v>0</v>
      </c>
      <c r="BK99" s="481"/>
      <c r="BL99" s="481">
        <v>16</v>
      </c>
      <c r="BW99" s="481">
        <v>21</v>
      </c>
      <c r="BX99" s="484" t="s">
        <v>481</v>
      </c>
    </row>
    <row r="100" spans="1:76" x14ac:dyDescent="0.25">
      <c r="A100" s="479" t="s">
        <v>340</v>
      </c>
      <c r="B100" s="480" t="s">
        <v>426</v>
      </c>
      <c r="C100" s="399" t="s">
        <v>482</v>
      </c>
      <c r="D100" s="395"/>
      <c r="E100" s="480" t="s">
        <v>291</v>
      </c>
      <c r="F100" s="481">
        <v>12.5</v>
      </c>
      <c r="G100" s="504">
        <v>0</v>
      </c>
      <c r="H100" s="481">
        <f>F100*AO100</f>
        <v>0</v>
      </c>
      <c r="I100" s="481">
        <f>F100*AP100</f>
        <v>0</v>
      </c>
      <c r="J100" s="481">
        <f>F100*G100</f>
        <v>0</v>
      </c>
      <c r="K100" s="482" t="s">
        <v>256</v>
      </c>
      <c r="Z100" s="481">
        <f>IF(AQ100="5",BJ100,0)</f>
        <v>0</v>
      </c>
      <c r="AB100" s="481">
        <f>IF(AQ100="1",BH100,0)</f>
        <v>0</v>
      </c>
      <c r="AC100" s="481">
        <f>IF(AQ100="1",BI100,0)</f>
        <v>0</v>
      </c>
      <c r="AD100" s="481">
        <f>IF(AQ100="7",BH100,0)</f>
        <v>0</v>
      </c>
      <c r="AE100" s="481">
        <f>IF(AQ100="7",BI100,0)</f>
        <v>0</v>
      </c>
      <c r="AF100" s="481">
        <f>IF(AQ100="2",BH100,0)</f>
        <v>0</v>
      </c>
      <c r="AG100" s="481">
        <f>IF(AQ100="2",BI100,0)</f>
        <v>0</v>
      </c>
      <c r="AH100" s="481">
        <f>IF(AQ100="0",BJ100,0)</f>
        <v>0</v>
      </c>
      <c r="AI100" s="456" t="s">
        <v>390</v>
      </c>
      <c r="AJ100" s="481">
        <f>IF(AN100=0,J100,0)</f>
        <v>0</v>
      </c>
      <c r="AK100" s="481">
        <f>IF(AN100=15,J100,0)</f>
        <v>0</v>
      </c>
      <c r="AL100" s="481">
        <f>IF(AN100=21,J100,0)</f>
        <v>0</v>
      </c>
      <c r="AN100" s="481">
        <v>21</v>
      </c>
      <c r="AO100" s="481">
        <f>G100*0</f>
        <v>0</v>
      </c>
      <c r="AP100" s="481">
        <f>G100*(1-0)</f>
        <v>0</v>
      </c>
      <c r="AQ100" s="483" t="s">
        <v>254</v>
      </c>
      <c r="AV100" s="481">
        <f>AW100+AX100</f>
        <v>0</v>
      </c>
      <c r="AW100" s="481">
        <f>F100*AO100</f>
        <v>0</v>
      </c>
      <c r="AX100" s="481">
        <f>F100*AP100</f>
        <v>0</v>
      </c>
      <c r="AY100" s="483" t="s">
        <v>272</v>
      </c>
      <c r="AZ100" s="483" t="s">
        <v>391</v>
      </c>
      <c r="BA100" s="456" t="s">
        <v>392</v>
      </c>
      <c r="BC100" s="481">
        <f>AW100+AX100</f>
        <v>0</v>
      </c>
      <c r="BD100" s="481">
        <f>G100/(100-BE100)*100</f>
        <v>0</v>
      </c>
      <c r="BE100" s="481">
        <v>0</v>
      </c>
      <c r="BF100" s="481">
        <f>100</f>
        <v>100</v>
      </c>
      <c r="BH100" s="481">
        <f>F100*AO100</f>
        <v>0</v>
      </c>
      <c r="BI100" s="481">
        <f>F100*AP100</f>
        <v>0</v>
      </c>
      <c r="BJ100" s="481">
        <f>F100*G100</f>
        <v>0</v>
      </c>
      <c r="BK100" s="481"/>
      <c r="BL100" s="481">
        <v>16</v>
      </c>
      <c r="BW100" s="481">
        <v>21</v>
      </c>
      <c r="BX100" s="484" t="s">
        <v>482</v>
      </c>
    </row>
    <row r="101" spans="1:76" x14ac:dyDescent="0.25">
      <c r="A101" s="473" t="s">
        <v>180</v>
      </c>
      <c r="B101" s="474" t="s">
        <v>279</v>
      </c>
      <c r="C101" s="475" t="s">
        <v>303</v>
      </c>
      <c r="D101" s="476"/>
      <c r="E101" s="477" t="s">
        <v>218</v>
      </c>
      <c r="F101" s="477" t="s">
        <v>218</v>
      </c>
      <c r="G101" s="477" t="s">
        <v>218</v>
      </c>
      <c r="H101" s="446">
        <f>SUM(H102:H102)</f>
        <v>0</v>
      </c>
      <c r="I101" s="446">
        <f>SUM(I102:I102)</f>
        <v>0</v>
      </c>
      <c r="J101" s="446">
        <f>SUM(J102:J102)</f>
        <v>0</v>
      </c>
      <c r="K101" s="478" t="s">
        <v>180</v>
      </c>
      <c r="AI101" s="456" t="s">
        <v>390</v>
      </c>
      <c r="AS101" s="446">
        <f>SUM(AJ102:AJ102)</f>
        <v>0</v>
      </c>
      <c r="AT101" s="446">
        <f>SUM(AK102:AK102)</f>
        <v>0</v>
      </c>
      <c r="AU101" s="446">
        <f>SUM(AL102:AL102)</f>
        <v>0</v>
      </c>
    </row>
    <row r="102" spans="1:76" x14ac:dyDescent="0.25">
      <c r="A102" s="479" t="s">
        <v>342</v>
      </c>
      <c r="B102" s="480" t="s">
        <v>346</v>
      </c>
      <c r="C102" s="399" t="s">
        <v>483</v>
      </c>
      <c r="D102" s="395"/>
      <c r="E102" s="480" t="s">
        <v>255</v>
      </c>
      <c r="F102" s="481">
        <v>34</v>
      </c>
      <c r="G102" s="504">
        <v>0</v>
      </c>
      <c r="H102" s="481">
        <f>F102*AO102</f>
        <v>0</v>
      </c>
      <c r="I102" s="481">
        <f>F102*AP102</f>
        <v>0</v>
      </c>
      <c r="J102" s="481">
        <f>F102*G102</f>
        <v>0</v>
      </c>
      <c r="K102" s="482" t="s">
        <v>256</v>
      </c>
      <c r="Z102" s="481">
        <f>IF(AQ102="5",BJ102,0)</f>
        <v>0</v>
      </c>
      <c r="AB102" s="481">
        <f>IF(AQ102="1",BH102,0)</f>
        <v>0</v>
      </c>
      <c r="AC102" s="481">
        <f>IF(AQ102="1",BI102,0)</f>
        <v>0</v>
      </c>
      <c r="AD102" s="481">
        <f>IF(AQ102="7",BH102,0)</f>
        <v>0</v>
      </c>
      <c r="AE102" s="481">
        <f>IF(AQ102="7",BI102,0)</f>
        <v>0</v>
      </c>
      <c r="AF102" s="481">
        <f>IF(AQ102="2",BH102,0)</f>
        <v>0</v>
      </c>
      <c r="AG102" s="481">
        <f>IF(AQ102="2",BI102,0)</f>
        <v>0</v>
      </c>
      <c r="AH102" s="481">
        <f>IF(AQ102="0",BJ102,0)</f>
        <v>0</v>
      </c>
      <c r="AI102" s="456" t="s">
        <v>390</v>
      </c>
      <c r="AJ102" s="481">
        <f>IF(AN102=0,J102,0)</f>
        <v>0</v>
      </c>
      <c r="AK102" s="481">
        <f>IF(AN102=15,J102,0)</f>
        <v>0</v>
      </c>
      <c r="AL102" s="481">
        <f>IF(AN102=21,J102,0)</f>
        <v>0</v>
      </c>
      <c r="AN102" s="481">
        <v>21</v>
      </c>
      <c r="AO102" s="481">
        <f>G102*0</f>
        <v>0</v>
      </c>
      <c r="AP102" s="481">
        <f>G102*(1-0)</f>
        <v>0</v>
      </c>
      <c r="AQ102" s="483" t="s">
        <v>254</v>
      </c>
      <c r="AV102" s="481">
        <f>AW102+AX102</f>
        <v>0</v>
      </c>
      <c r="AW102" s="481">
        <f>F102*AO102</f>
        <v>0</v>
      </c>
      <c r="AX102" s="481">
        <f>F102*AP102</f>
        <v>0</v>
      </c>
      <c r="AY102" s="483" t="s">
        <v>305</v>
      </c>
      <c r="AZ102" s="483" t="s">
        <v>391</v>
      </c>
      <c r="BA102" s="456" t="s">
        <v>392</v>
      </c>
      <c r="BC102" s="481">
        <f>AW102+AX102</f>
        <v>0</v>
      </c>
      <c r="BD102" s="481">
        <f>G102/(100-BE102)*100</f>
        <v>0</v>
      </c>
      <c r="BE102" s="481">
        <v>0</v>
      </c>
      <c r="BF102" s="481">
        <f>102</f>
        <v>102</v>
      </c>
      <c r="BH102" s="481">
        <f>F102*AO102</f>
        <v>0</v>
      </c>
      <c r="BI102" s="481">
        <f>F102*AP102</f>
        <v>0</v>
      </c>
      <c r="BJ102" s="481">
        <f>F102*G102</f>
        <v>0</v>
      </c>
      <c r="BK102" s="481"/>
      <c r="BL102" s="481">
        <v>18</v>
      </c>
      <c r="BW102" s="481">
        <v>21</v>
      </c>
      <c r="BX102" s="484" t="s">
        <v>483</v>
      </c>
    </row>
    <row r="103" spans="1:76" x14ac:dyDescent="0.25">
      <c r="A103" s="473" t="s">
        <v>180</v>
      </c>
      <c r="B103" s="474" t="s">
        <v>389</v>
      </c>
      <c r="C103" s="475" t="s">
        <v>484</v>
      </c>
      <c r="D103" s="476"/>
      <c r="E103" s="477" t="s">
        <v>218</v>
      </c>
      <c r="F103" s="477" t="s">
        <v>218</v>
      </c>
      <c r="G103" s="477" t="s">
        <v>218</v>
      </c>
      <c r="H103" s="446">
        <f>SUM(H104:H104)</f>
        <v>0</v>
      </c>
      <c r="I103" s="446">
        <f>SUM(I104:I104)</f>
        <v>0</v>
      </c>
      <c r="J103" s="446">
        <f>SUM(J104:J104)</f>
        <v>0</v>
      </c>
      <c r="K103" s="478" t="s">
        <v>180</v>
      </c>
      <c r="AI103" s="456" t="s">
        <v>390</v>
      </c>
      <c r="AS103" s="446">
        <f>SUM(AJ104:AJ104)</f>
        <v>0</v>
      </c>
      <c r="AT103" s="446">
        <f>SUM(AK104:AK104)</f>
        <v>0</v>
      </c>
      <c r="AU103" s="446">
        <f>SUM(AL104:AL104)</f>
        <v>0</v>
      </c>
    </row>
    <row r="104" spans="1:76" x14ac:dyDescent="0.25">
      <c r="A104" s="479" t="s">
        <v>345</v>
      </c>
      <c r="B104" s="480" t="s">
        <v>485</v>
      </c>
      <c r="C104" s="399" t="s">
        <v>486</v>
      </c>
      <c r="D104" s="395"/>
      <c r="E104" s="480" t="s">
        <v>35</v>
      </c>
      <c r="F104" s="481">
        <v>67</v>
      </c>
      <c r="G104" s="504">
        <v>0</v>
      </c>
      <c r="H104" s="481">
        <f>F104*AO104</f>
        <v>0</v>
      </c>
      <c r="I104" s="481">
        <f>F104*AP104</f>
        <v>0</v>
      </c>
      <c r="J104" s="481">
        <f>F104*G104</f>
        <v>0</v>
      </c>
      <c r="K104" s="482" t="s">
        <v>256</v>
      </c>
      <c r="Z104" s="481">
        <f>IF(AQ104="5",BJ104,0)</f>
        <v>0</v>
      </c>
      <c r="AB104" s="481">
        <f>IF(AQ104="1",BH104,0)</f>
        <v>0</v>
      </c>
      <c r="AC104" s="481">
        <f>IF(AQ104="1",BI104,0)</f>
        <v>0</v>
      </c>
      <c r="AD104" s="481">
        <f>IF(AQ104="7",BH104,0)</f>
        <v>0</v>
      </c>
      <c r="AE104" s="481">
        <f>IF(AQ104="7",BI104,0)</f>
        <v>0</v>
      </c>
      <c r="AF104" s="481">
        <f>IF(AQ104="2",BH104,0)</f>
        <v>0</v>
      </c>
      <c r="AG104" s="481">
        <f>IF(AQ104="2",BI104,0)</f>
        <v>0</v>
      </c>
      <c r="AH104" s="481">
        <f>IF(AQ104="0",BJ104,0)</f>
        <v>0</v>
      </c>
      <c r="AI104" s="456" t="s">
        <v>390</v>
      </c>
      <c r="AJ104" s="481">
        <f>IF(AN104=0,J104,0)</f>
        <v>0</v>
      </c>
      <c r="AK104" s="481">
        <f>IF(AN104=15,J104,0)</f>
        <v>0</v>
      </c>
      <c r="AL104" s="481">
        <f>IF(AN104=21,J104,0)</f>
        <v>0</v>
      </c>
      <c r="AN104" s="481">
        <v>21</v>
      </c>
      <c r="AO104" s="481">
        <f>G104*0.786632783</f>
        <v>0</v>
      </c>
      <c r="AP104" s="481">
        <f>G104*(1-0.786632783)</f>
        <v>0</v>
      </c>
      <c r="AQ104" s="483" t="s">
        <v>254</v>
      </c>
      <c r="AV104" s="481">
        <f>AW104+AX104</f>
        <v>0</v>
      </c>
      <c r="AW104" s="481">
        <f>F104*AO104</f>
        <v>0</v>
      </c>
      <c r="AX104" s="481">
        <f>F104*AP104</f>
        <v>0</v>
      </c>
      <c r="AY104" s="483" t="s">
        <v>487</v>
      </c>
      <c r="AZ104" s="483" t="s">
        <v>393</v>
      </c>
      <c r="BA104" s="456" t="s">
        <v>392</v>
      </c>
      <c r="BC104" s="481">
        <f>AW104+AX104</f>
        <v>0</v>
      </c>
      <c r="BD104" s="481">
        <f>G104/(100-BE104)*100</f>
        <v>0</v>
      </c>
      <c r="BE104" s="481">
        <v>0</v>
      </c>
      <c r="BF104" s="481">
        <f>104</f>
        <v>104</v>
      </c>
      <c r="BH104" s="481">
        <f>F104*AO104</f>
        <v>0</v>
      </c>
      <c r="BI104" s="481">
        <f>F104*AP104</f>
        <v>0</v>
      </c>
      <c r="BJ104" s="481">
        <f>F104*G104</f>
        <v>0</v>
      </c>
      <c r="BK104" s="481"/>
      <c r="BL104" s="481">
        <v>91</v>
      </c>
      <c r="BW104" s="481">
        <v>21</v>
      </c>
      <c r="BX104" s="484" t="s">
        <v>486</v>
      </c>
    </row>
    <row r="105" spans="1:76" x14ac:dyDescent="0.25">
      <c r="A105" s="473" t="s">
        <v>180</v>
      </c>
      <c r="B105" s="474" t="s">
        <v>281</v>
      </c>
      <c r="C105" s="475" t="s">
        <v>282</v>
      </c>
      <c r="D105" s="476"/>
      <c r="E105" s="477" t="s">
        <v>218</v>
      </c>
      <c r="F105" s="477" t="s">
        <v>218</v>
      </c>
      <c r="G105" s="477" t="s">
        <v>218</v>
      </c>
      <c r="H105" s="446">
        <f>SUM(H106:H106)</f>
        <v>0</v>
      </c>
      <c r="I105" s="446">
        <f>SUM(I106:I106)</f>
        <v>0</v>
      </c>
      <c r="J105" s="446">
        <f>SUM(J106:J106)</f>
        <v>0</v>
      </c>
      <c r="K105" s="478" t="s">
        <v>180</v>
      </c>
      <c r="AI105" s="456" t="s">
        <v>390</v>
      </c>
      <c r="AS105" s="446">
        <f>SUM(AJ106:AJ106)</f>
        <v>0</v>
      </c>
      <c r="AT105" s="446">
        <f>SUM(AK106:AK106)</f>
        <v>0</v>
      </c>
      <c r="AU105" s="446">
        <f>SUM(AL106:AL106)</f>
        <v>0</v>
      </c>
    </row>
    <row r="106" spans="1:76" x14ac:dyDescent="0.25">
      <c r="A106" s="479" t="s">
        <v>347</v>
      </c>
      <c r="B106" s="480" t="s">
        <v>284</v>
      </c>
      <c r="C106" s="399" t="s">
        <v>285</v>
      </c>
      <c r="D106" s="395"/>
      <c r="E106" s="480" t="s">
        <v>43</v>
      </c>
      <c r="F106" s="481">
        <v>14</v>
      </c>
      <c r="G106" s="504">
        <v>0</v>
      </c>
      <c r="H106" s="481">
        <f>F106*AO106</f>
        <v>0</v>
      </c>
      <c r="I106" s="481">
        <f>F106*AP106</f>
        <v>0</v>
      </c>
      <c r="J106" s="481">
        <f>F106*G106</f>
        <v>0</v>
      </c>
      <c r="K106" s="482" t="s">
        <v>256</v>
      </c>
      <c r="Z106" s="481">
        <f>IF(AQ106="5",BJ106,0)</f>
        <v>0</v>
      </c>
      <c r="AB106" s="481">
        <f>IF(AQ106="1",BH106,0)</f>
        <v>0</v>
      </c>
      <c r="AC106" s="481">
        <f>IF(AQ106="1",BI106,0)</f>
        <v>0</v>
      </c>
      <c r="AD106" s="481">
        <f>IF(AQ106="7",BH106,0)</f>
        <v>0</v>
      </c>
      <c r="AE106" s="481">
        <f>IF(AQ106="7",BI106,0)</f>
        <v>0</v>
      </c>
      <c r="AF106" s="481">
        <f>IF(AQ106="2",BH106,0)</f>
        <v>0</v>
      </c>
      <c r="AG106" s="481">
        <f>IF(AQ106="2",BI106,0)</f>
        <v>0</v>
      </c>
      <c r="AH106" s="481">
        <f>IF(AQ106="0",BJ106,0)</f>
        <v>0</v>
      </c>
      <c r="AI106" s="456" t="s">
        <v>390</v>
      </c>
      <c r="AJ106" s="481">
        <f>IF(AN106=0,J106,0)</f>
        <v>0</v>
      </c>
      <c r="AK106" s="481">
        <f>IF(AN106=15,J106,0)</f>
        <v>0</v>
      </c>
      <c r="AL106" s="481">
        <f>IF(AN106=21,J106,0)</f>
        <v>0</v>
      </c>
      <c r="AN106" s="481">
        <v>21</v>
      </c>
      <c r="AO106" s="481">
        <f>G106*0</f>
        <v>0</v>
      </c>
      <c r="AP106" s="481">
        <f>G106*(1-0)</f>
        <v>0</v>
      </c>
      <c r="AQ106" s="483" t="s">
        <v>264</v>
      </c>
      <c r="AV106" s="481">
        <f>AW106+AX106</f>
        <v>0</v>
      </c>
      <c r="AW106" s="481">
        <f>F106*AO106</f>
        <v>0</v>
      </c>
      <c r="AX106" s="481">
        <f>F106*AP106</f>
        <v>0</v>
      </c>
      <c r="AY106" s="483" t="s">
        <v>286</v>
      </c>
      <c r="AZ106" s="483" t="s">
        <v>393</v>
      </c>
      <c r="BA106" s="456" t="s">
        <v>392</v>
      </c>
      <c r="BC106" s="481">
        <f>AW106+AX106</f>
        <v>0</v>
      </c>
      <c r="BD106" s="481">
        <f>G106/(100-BE106)*100</f>
        <v>0</v>
      </c>
      <c r="BE106" s="481">
        <v>0</v>
      </c>
      <c r="BF106" s="481">
        <f>106</f>
        <v>106</v>
      </c>
      <c r="BH106" s="481">
        <f>F106*AO106</f>
        <v>0</v>
      </c>
      <c r="BI106" s="481">
        <f>F106*AP106</f>
        <v>0</v>
      </c>
      <c r="BJ106" s="481">
        <f>F106*G106</f>
        <v>0</v>
      </c>
      <c r="BK106" s="481"/>
      <c r="BL106" s="481"/>
      <c r="BW106" s="481">
        <v>21</v>
      </c>
      <c r="BX106" s="484" t="s">
        <v>285</v>
      </c>
    </row>
    <row r="107" spans="1:76" x14ac:dyDescent="0.25">
      <c r="A107" s="473" t="s">
        <v>180</v>
      </c>
      <c r="B107" s="474" t="s">
        <v>678</v>
      </c>
      <c r="C107" s="475" t="s">
        <v>203</v>
      </c>
      <c r="D107" s="476"/>
      <c r="E107" s="477" t="s">
        <v>218</v>
      </c>
      <c r="F107" s="477" t="s">
        <v>218</v>
      </c>
      <c r="G107" s="477" t="s">
        <v>218</v>
      </c>
      <c r="H107" s="446">
        <f>SUM(H108:H109)</f>
        <v>0</v>
      </c>
      <c r="I107" s="446">
        <f>SUM(I108:I109)</f>
        <v>0</v>
      </c>
      <c r="J107" s="446">
        <f>SUM(J108:J109)</f>
        <v>0</v>
      </c>
      <c r="K107" s="478" t="s">
        <v>180</v>
      </c>
      <c r="AI107" s="456" t="s">
        <v>390</v>
      </c>
      <c r="AS107" s="446">
        <f>SUM(AJ108:AJ109)</f>
        <v>0</v>
      </c>
      <c r="AT107" s="446">
        <f>SUM(AK108:AK109)</f>
        <v>0</v>
      </c>
      <c r="AU107" s="446">
        <f>SUM(AL108:AL109)</f>
        <v>0</v>
      </c>
    </row>
    <row r="108" spans="1:76" x14ac:dyDescent="0.25">
      <c r="A108" s="479" t="s">
        <v>348</v>
      </c>
      <c r="B108" s="480" t="s">
        <v>488</v>
      </c>
      <c r="C108" s="399" t="s">
        <v>489</v>
      </c>
      <c r="D108" s="395"/>
      <c r="E108" s="480" t="s">
        <v>51</v>
      </c>
      <c r="F108" s="481">
        <v>1</v>
      </c>
      <c r="G108" s="504">
        <v>0</v>
      </c>
      <c r="H108" s="481">
        <f>F108*AO108</f>
        <v>0</v>
      </c>
      <c r="I108" s="481">
        <f>F108*AP108</f>
        <v>0</v>
      </c>
      <c r="J108" s="481">
        <f>F108*G108</f>
        <v>0</v>
      </c>
      <c r="K108" s="482" t="s">
        <v>180</v>
      </c>
      <c r="Z108" s="481">
        <f>IF(AQ108="5",BJ108,0)</f>
        <v>0</v>
      </c>
      <c r="AB108" s="481">
        <f>IF(AQ108="1",BH108,0)</f>
        <v>0</v>
      </c>
      <c r="AC108" s="481">
        <f>IF(AQ108="1",BI108,0)</f>
        <v>0</v>
      </c>
      <c r="AD108" s="481">
        <f>IF(AQ108="7",BH108,0)</f>
        <v>0</v>
      </c>
      <c r="AE108" s="481">
        <f>IF(AQ108="7",BI108,0)</f>
        <v>0</v>
      </c>
      <c r="AF108" s="481">
        <f>IF(AQ108="2",BH108,0)</f>
        <v>0</v>
      </c>
      <c r="AG108" s="481">
        <f>IF(AQ108="2",BI108,0)</f>
        <v>0</v>
      </c>
      <c r="AH108" s="481">
        <f>IF(AQ108="0",BJ108,0)</f>
        <v>0</v>
      </c>
      <c r="AI108" s="456" t="s">
        <v>390</v>
      </c>
      <c r="AJ108" s="481">
        <f>IF(AN108=0,J108,0)</f>
        <v>0</v>
      </c>
      <c r="AK108" s="481">
        <f>IF(AN108=15,J108,0)</f>
        <v>0</v>
      </c>
      <c r="AL108" s="481">
        <f>IF(AN108=21,J108,0)</f>
        <v>0</v>
      </c>
      <c r="AN108" s="481">
        <v>21</v>
      </c>
      <c r="AO108" s="481">
        <f>G108*1</f>
        <v>0</v>
      </c>
      <c r="AP108" s="481">
        <f>G108*(1-1)</f>
        <v>0</v>
      </c>
      <c r="AQ108" s="483" t="s">
        <v>295</v>
      </c>
      <c r="AV108" s="481">
        <f>AW108+AX108</f>
        <v>0</v>
      </c>
      <c r="AW108" s="481">
        <f>F108*AO108</f>
        <v>0</v>
      </c>
      <c r="AX108" s="481">
        <f>F108*AP108</f>
        <v>0</v>
      </c>
      <c r="AY108" s="483" t="s">
        <v>296</v>
      </c>
      <c r="AZ108" s="483" t="s">
        <v>394</v>
      </c>
      <c r="BA108" s="456" t="s">
        <v>392</v>
      </c>
      <c r="BC108" s="481">
        <f>AW108+AX108</f>
        <v>0</v>
      </c>
      <c r="BD108" s="481">
        <f>G108/(100-BE108)*100</f>
        <v>0</v>
      </c>
      <c r="BE108" s="481">
        <v>0</v>
      </c>
      <c r="BF108" s="481">
        <f>108</f>
        <v>108</v>
      </c>
      <c r="BH108" s="481">
        <f>F108*AO108</f>
        <v>0</v>
      </c>
      <c r="BI108" s="481">
        <f>F108*AP108</f>
        <v>0</v>
      </c>
      <c r="BJ108" s="481">
        <f>F108*G108</f>
        <v>0</v>
      </c>
      <c r="BK108" s="481"/>
      <c r="BL108" s="481"/>
      <c r="BW108" s="481">
        <v>21</v>
      </c>
      <c r="BX108" s="484" t="s">
        <v>489</v>
      </c>
    </row>
    <row r="109" spans="1:76" x14ac:dyDescent="0.25">
      <c r="A109" s="479" t="s">
        <v>349</v>
      </c>
      <c r="B109" s="480" t="s">
        <v>490</v>
      </c>
      <c r="C109" s="399" t="s">
        <v>491</v>
      </c>
      <c r="D109" s="395"/>
      <c r="E109" s="480" t="s">
        <v>255</v>
      </c>
      <c r="F109" s="481">
        <v>36</v>
      </c>
      <c r="G109" s="504">
        <v>0</v>
      </c>
      <c r="H109" s="481">
        <f>F109*AO109</f>
        <v>0</v>
      </c>
      <c r="I109" s="481">
        <f>F109*AP109</f>
        <v>0</v>
      </c>
      <c r="J109" s="481">
        <f>F109*G109</f>
        <v>0</v>
      </c>
      <c r="K109" s="482" t="s">
        <v>256</v>
      </c>
      <c r="Z109" s="481">
        <f>IF(AQ109="5",BJ109,0)</f>
        <v>0</v>
      </c>
      <c r="AB109" s="481">
        <f>IF(AQ109="1",BH109,0)</f>
        <v>0</v>
      </c>
      <c r="AC109" s="481">
        <f>IF(AQ109="1",BI109,0)</f>
        <v>0</v>
      </c>
      <c r="AD109" s="481">
        <f>IF(AQ109="7",BH109,0)</f>
        <v>0</v>
      </c>
      <c r="AE109" s="481">
        <f>IF(AQ109="7",BI109,0)</f>
        <v>0</v>
      </c>
      <c r="AF109" s="481">
        <f>IF(AQ109="2",BH109,0)</f>
        <v>0</v>
      </c>
      <c r="AG109" s="481">
        <f>IF(AQ109="2",BI109,0)</f>
        <v>0</v>
      </c>
      <c r="AH109" s="481">
        <f>IF(AQ109="0",BJ109,0)</f>
        <v>0</v>
      </c>
      <c r="AI109" s="456" t="s">
        <v>390</v>
      </c>
      <c r="AJ109" s="481">
        <f>IF(AN109=0,J109,0)</f>
        <v>0</v>
      </c>
      <c r="AK109" s="481">
        <f>IF(AN109=15,J109,0)</f>
        <v>0</v>
      </c>
      <c r="AL109" s="481">
        <f>IF(AN109=21,J109,0)</f>
        <v>0</v>
      </c>
      <c r="AN109" s="481">
        <v>21</v>
      </c>
      <c r="AO109" s="481">
        <f>G109*1</f>
        <v>0</v>
      </c>
      <c r="AP109" s="481">
        <f>G109*(1-1)</f>
        <v>0</v>
      </c>
      <c r="AQ109" s="483" t="s">
        <v>295</v>
      </c>
      <c r="AV109" s="481">
        <f>AW109+AX109</f>
        <v>0</v>
      </c>
      <c r="AW109" s="481">
        <f>F109*AO109</f>
        <v>0</v>
      </c>
      <c r="AX109" s="481">
        <f>F109*AP109</f>
        <v>0</v>
      </c>
      <c r="AY109" s="483" t="s">
        <v>296</v>
      </c>
      <c r="AZ109" s="483" t="s">
        <v>394</v>
      </c>
      <c r="BA109" s="456" t="s">
        <v>392</v>
      </c>
      <c r="BC109" s="481">
        <f>AW109+AX109</f>
        <v>0</v>
      </c>
      <c r="BD109" s="481">
        <f>G109/(100-BE109)*100</f>
        <v>0</v>
      </c>
      <c r="BE109" s="481">
        <v>0</v>
      </c>
      <c r="BF109" s="481">
        <f>109</f>
        <v>109</v>
      </c>
      <c r="BH109" s="481">
        <f>F109*AO109</f>
        <v>0</v>
      </c>
      <c r="BI109" s="481">
        <f>F109*AP109</f>
        <v>0</v>
      </c>
      <c r="BJ109" s="481">
        <f>F109*G109</f>
        <v>0</v>
      </c>
      <c r="BK109" s="481"/>
      <c r="BL109" s="481"/>
      <c r="BW109" s="481">
        <v>21</v>
      </c>
      <c r="BX109" s="484" t="s">
        <v>491</v>
      </c>
    </row>
    <row r="110" spans="1:76" ht="13.5" customHeight="1" x14ac:dyDescent="0.25">
      <c r="A110" s="490"/>
      <c r="B110" s="491" t="s">
        <v>214</v>
      </c>
      <c r="C110" s="492" t="s">
        <v>492</v>
      </c>
      <c r="D110" s="493"/>
      <c r="E110" s="493"/>
      <c r="F110" s="493"/>
      <c r="G110" s="493"/>
      <c r="H110" s="493"/>
      <c r="I110" s="493"/>
      <c r="J110" s="493"/>
      <c r="K110" s="494"/>
    </row>
    <row r="111" spans="1:76" x14ac:dyDescent="0.25">
      <c r="H111" s="396" t="s">
        <v>395</v>
      </c>
      <c r="I111" s="396"/>
      <c r="J111" s="495">
        <f>J13+J15+J17+J21+J24+J26+J31+J34+J40+J44+J49+J52+J54+J59+J61+J67+J72+J76+J78+J82+J84+J96+J101+J103+J105+J107</f>
        <v>0</v>
      </c>
    </row>
    <row r="112" spans="1:76" x14ac:dyDescent="0.25">
      <c r="A112" s="445" t="s">
        <v>214</v>
      </c>
    </row>
    <row r="113" spans="1:11" ht="12.75" customHeight="1" x14ac:dyDescent="0.25">
      <c r="A113" s="399" t="s">
        <v>180</v>
      </c>
      <c r="B113" s="395"/>
      <c r="C113" s="395"/>
      <c r="D113" s="395"/>
      <c r="E113" s="395"/>
      <c r="F113" s="395"/>
      <c r="G113" s="395"/>
      <c r="H113" s="395"/>
      <c r="I113" s="395"/>
      <c r="J113" s="395"/>
      <c r="K113" s="395"/>
    </row>
  </sheetData>
  <sheetProtection algorithmName="SHA-512" hashValue="3dzGi6vvBO0dMAxOEF+fOwbhPJK+wlNVyduqm69AwktnTKHrfx7A0iQlaeMaMXxu1vPg8t7wO1htglhn2fEMBQ==" saltValue="lcdGPaGHS6FMoiLJHzs4Xw==" spinCount="100000" sheet="1" objects="1" scenarios="1"/>
  <mergeCells count="129">
    <mergeCell ref="H111:I111"/>
    <mergeCell ref="A113:K113"/>
    <mergeCell ref="C105:D105"/>
    <mergeCell ref="C106:D106"/>
    <mergeCell ref="C107:D107"/>
    <mergeCell ref="C108:D108"/>
    <mergeCell ref="C109:D109"/>
    <mergeCell ref="C110:K110"/>
    <mergeCell ref="C99:D99"/>
    <mergeCell ref="C100:D100"/>
    <mergeCell ref="C101:D101"/>
    <mergeCell ref="C102:D102"/>
    <mergeCell ref="C103:D103"/>
    <mergeCell ref="C104:D104"/>
    <mergeCell ref="C93:D93"/>
    <mergeCell ref="C94:K94"/>
    <mergeCell ref="C95:D95"/>
    <mergeCell ref="C96:D96"/>
    <mergeCell ref="C97:D97"/>
    <mergeCell ref="C98:K98"/>
    <mergeCell ref="C87:D87"/>
    <mergeCell ref="C88:D88"/>
    <mergeCell ref="C89:D89"/>
    <mergeCell ref="C90:K90"/>
    <mergeCell ref="C91:D91"/>
    <mergeCell ref="C92:D92"/>
    <mergeCell ref="C81:K81"/>
    <mergeCell ref="C82:D82"/>
    <mergeCell ref="C83:D83"/>
    <mergeCell ref="C84:D84"/>
    <mergeCell ref="C85:D85"/>
    <mergeCell ref="C86:D86"/>
    <mergeCell ref="C75:K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K63"/>
    <mergeCell ref="C64:D64"/>
    <mergeCell ref="C65:D65"/>
    <mergeCell ref="C66:D66"/>
    <mergeCell ref="C67:D67"/>
    <mergeCell ref="C68:D68"/>
    <mergeCell ref="C57:K57"/>
    <mergeCell ref="C58:D58"/>
    <mergeCell ref="C59:D59"/>
    <mergeCell ref="C60:D60"/>
    <mergeCell ref="C61:D61"/>
    <mergeCell ref="C62:D62"/>
    <mergeCell ref="C51:K51"/>
    <mergeCell ref="C52:D52"/>
    <mergeCell ref="C53:D53"/>
    <mergeCell ref="C54:D54"/>
    <mergeCell ref="C55:D55"/>
    <mergeCell ref="C56:D56"/>
    <mergeCell ref="C45:D45"/>
    <mergeCell ref="C46:D46"/>
    <mergeCell ref="C47:K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K38"/>
    <mergeCell ref="C27:D27"/>
    <mergeCell ref="C28:K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0:D10"/>
    <mergeCell ref="H10:J10"/>
    <mergeCell ref="C11:D11"/>
    <mergeCell ref="C12:D12"/>
    <mergeCell ref="C13:D13"/>
    <mergeCell ref="C14:D14"/>
    <mergeCell ref="A8:B9"/>
    <mergeCell ref="C8:D9"/>
    <mergeCell ref="E8:F9"/>
    <mergeCell ref="G8:G9"/>
    <mergeCell ref="H8:H9"/>
    <mergeCell ref="I8:K9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I4:K5"/>
    <mergeCell ref="A1:K1"/>
    <mergeCell ref="A2:B3"/>
    <mergeCell ref="C2:D3"/>
    <mergeCell ref="E2:F3"/>
    <mergeCell ref="G2:G3"/>
    <mergeCell ref="H2:H3"/>
    <mergeCell ref="I2:K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4593-EEA7-4962-9492-D3A9BE130FE9}">
  <sheetPr>
    <pageSetUpPr fitToPage="1"/>
  </sheetPr>
  <dimension ref="B2:BM439"/>
  <sheetViews>
    <sheetView showGridLines="0" topLeftCell="A78" workbookViewId="0">
      <selection activeCell="W95" sqref="W95"/>
    </sheetView>
  </sheetViews>
  <sheetFormatPr defaultRowHeight="11.25" x14ac:dyDescent="0.2"/>
  <cols>
    <col min="1" max="1" width="7.140625" style="126" customWidth="1"/>
    <col min="2" max="2" width="1" style="126" customWidth="1"/>
    <col min="3" max="3" width="3.5703125" style="126" customWidth="1"/>
    <col min="4" max="4" width="3.7109375" style="126" customWidth="1"/>
    <col min="5" max="5" width="14.7109375" style="126" customWidth="1"/>
    <col min="6" max="6" width="86.42578125" style="126" customWidth="1"/>
    <col min="7" max="7" width="6.42578125" style="126" customWidth="1"/>
    <col min="8" max="8" width="12" style="126" customWidth="1"/>
    <col min="9" max="9" width="13.5703125" style="126" customWidth="1"/>
    <col min="10" max="11" width="19.140625" style="126" customWidth="1"/>
    <col min="12" max="12" width="8" style="126" customWidth="1"/>
    <col min="13" max="13" width="9.28515625" style="126" hidden="1" customWidth="1"/>
    <col min="14" max="14" width="9.140625" style="126"/>
    <col min="15" max="20" width="12.140625" style="126" hidden="1" customWidth="1"/>
    <col min="21" max="21" width="14" style="126" hidden="1" customWidth="1"/>
    <col min="22" max="22" width="10.5703125" style="126" customWidth="1"/>
    <col min="23" max="23" width="14" style="126" customWidth="1"/>
    <col min="24" max="24" width="10.5703125" style="126" customWidth="1"/>
    <col min="25" max="25" width="12.85546875" style="126" customWidth="1"/>
    <col min="26" max="26" width="9.42578125" style="126" customWidth="1"/>
    <col min="27" max="27" width="12.85546875" style="126" customWidth="1"/>
    <col min="28" max="28" width="14" style="126" customWidth="1"/>
    <col min="29" max="29" width="9.42578125" style="126" customWidth="1"/>
    <col min="30" max="30" width="12.85546875" style="126" customWidth="1"/>
    <col min="31" max="31" width="14" style="126" customWidth="1"/>
    <col min="32" max="16384" width="9.140625" style="126"/>
  </cols>
  <sheetData>
    <row r="2" spans="2:46" ht="36.950000000000003" customHeight="1" x14ac:dyDescent="0.2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27" t="s">
        <v>526</v>
      </c>
    </row>
    <row r="3" spans="2:46" ht="6.95" customHeight="1" x14ac:dyDescent="0.2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30"/>
      <c r="AT3" s="127" t="s">
        <v>260</v>
      </c>
    </row>
    <row r="4" spans="2:46" ht="24.95" customHeight="1" x14ac:dyDescent="0.2">
      <c r="B4" s="130"/>
      <c r="D4" s="131" t="s">
        <v>530</v>
      </c>
      <c r="L4" s="130"/>
      <c r="M4" s="156" t="s">
        <v>497</v>
      </c>
      <c r="AT4" s="127" t="s">
        <v>496</v>
      </c>
    </row>
    <row r="5" spans="2:46" ht="6.95" customHeight="1" x14ac:dyDescent="0.2">
      <c r="B5" s="130"/>
      <c r="L5" s="130"/>
    </row>
    <row r="6" spans="2:46" ht="12" customHeight="1" x14ac:dyDescent="0.2">
      <c r="B6" s="130"/>
      <c r="D6" s="133" t="s">
        <v>498</v>
      </c>
      <c r="L6" s="130"/>
    </row>
    <row r="7" spans="2:46" ht="16.5" customHeight="1" x14ac:dyDescent="0.2">
      <c r="B7" s="130"/>
      <c r="E7" s="367" t="str">
        <f>'[2]Rekapitulace stavby'!K6</f>
        <v>Karlovy Vary, Sady Karla IV – revitalizace veřejného prostranství</v>
      </c>
      <c r="F7" s="368"/>
      <c r="G7" s="368"/>
      <c r="H7" s="368"/>
      <c r="L7" s="130"/>
    </row>
    <row r="8" spans="2:46" ht="12" customHeight="1" x14ac:dyDescent="0.2">
      <c r="B8" s="130"/>
      <c r="D8" s="133" t="s">
        <v>531</v>
      </c>
      <c r="L8" s="130"/>
    </row>
    <row r="9" spans="2:46" s="136" customFormat="1" ht="16.5" customHeight="1" x14ac:dyDescent="0.25">
      <c r="B9" s="137"/>
      <c r="E9" s="367" t="s">
        <v>532</v>
      </c>
      <c r="F9" s="366"/>
      <c r="G9" s="366"/>
      <c r="H9" s="366"/>
      <c r="L9" s="137"/>
    </row>
    <row r="10" spans="2:46" s="136" customFormat="1" ht="12" customHeight="1" x14ac:dyDescent="0.25">
      <c r="B10" s="137"/>
      <c r="D10" s="133" t="s">
        <v>533</v>
      </c>
      <c r="L10" s="137"/>
    </row>
    <row r="11" spans="2:46" s="136" customFormat="1" ht="16.5" customHeight="1" x14ac:dyDescent="0.25">
      <c r="B11" s="137"/>
      <c r="E11" s="362" t="s">
        <v>532</v>
      </c>
      <c r="F11" s="366"/>
      <c r="G11" s="366"/>
      <c r="H11" s="366"/>
      <c r="L11" s="137"/>
    </row>
    <row r="12" spans="2:46" s="136" customFormat="1" x14ac:dyDescent="0.25">
      <c r="B12" s="137"/>
      <c r="L12" s="137"/>
    </row>
    <row r="13" spans="2:46" s="136" customFormat="1" ht="12" customHeight="1" x14ac:dyDescent="0.25">
      <c r="B13" s="137"/>
      <c r="D13" s="133" t="s">
        <v>499</v>
      </c>
      <c r="F13" s="132" t="s">
        <v>180</v>
      </c>
      <c r="I13" s="133" t="s">
        <v>500</v>
      </c>
      <c r="J13" s="132" t="s">
        <v>180</v>
      </c>
      <c r="L13" s="137"/>
    </row>
    <row r="14" spans="2:46" s="136" customFormat="1" ht="12" customHeight="1" x14ac:dyDescent="0.25">
      <c r="B14" s="137"/>
      <c r="D14" s="133" t="s">
        <v>501</v>
      </c>
      <c r="F14" s="132" t="s">
        <v>220</v>
      </c>
      <c r="I14" s="133" t="s">
        <v>4</v>
      </c>
      <c r="J14" s="143" t="str">
        <f>'[2]Rekapitulace stavby'!AN8</f>
        <v>18. 12. 2023</v>
      </c>
      <c r="L14" s="137"/>
    </row>
    <row r="15" spans="2:46" s="136" customFormat="1" ht="10.9" customHeight="1" x14ac:dyDescent="0.25">
      <c r="B15" s="137"/>
      <c r="L15" s="137"/>
    </row>
    <row r="16" spans="2:46" s="136" customFormat="1" ht="12" customHeight="1" x14ac:dyDescent="0.25">
      <c r="B16" s="137"/>
      <c r="D16" s="133" t="s">
        <v>502</v>
      </c>
      <c r="I16" s="133" t="s">
        <v>503</v>
      </c>
      <c r="J16" s="132" t="s">
        <v>180</v>
      </c>
      <c r="L16" s="137"/>
    </row>
    <row r="17" spans="2:12" s="136" customFormat="1" ht="18" customHeight="1" x14ac:dyDescent="0.25">
      <c r="B17" s="137"/>
      <c r="E17" s="132" t="s">
        <v>7</v>
      </c>
      <c r="I17" s="133" t="s">
        <v>504</v>
      </c>
      <c r="J17" s="132" t="s">
        <v>180</v>
      </c>
      <c r="L17" s="137"/>
    </row>
    <row r="18" spans="2:12" s="136" customFormat="1" ht="6.95" customHeight="1" x14ac:dyDescent="0.25">
      <c r="B18" s="137"/>
      <c r="L18" s="137"/>
    </row>
    <row r="19" spans="2:12" s="136" customFormat="1" ht="12" customHeight="1" x14ac:dyDescent="0.25">
      <c r="B19" s="137"/>
      <c r="D19" s="133" t="s">
        <v>505</v>
      </c>
      <c r="I19" s="133" t="s">
        <v>503</v>
      </c>
      <c r="J19" s="134" t="str">
        <f>'[2]Rekapitulace stavby'!AN13</f>
        <v>Vyplň údaj</v>
      </c>
      <c r="L19" s="137"/>
    </row>
    <row r="20" spans="2:12" s="136" customFormat="1" ht="18" customHeight="1" x14ac:dyDescent="0.25">
      <c r="B20" s="137"/>
      <c r="E20" s="369" t="str">
        <f>'[2]Rekapitulace stavby'!E14</f>
        <v>Vyplň údaj</v>
      </c>
      <c r="F20" s="364"/>
      <c r="G20" s="364"/>
      <c r="H20" s="364"/>
      <c r="I20" s="133" t="s">
        <v>504</v>
      </c>
      <c r="J20" s="134" t="str">
        <f>'[2]Rekapitulace stavby'!AN14</f>
        <v>Vyplň údaj</v>
      </c>
      <c r="L20" s="137"/>
    </row>
    <row r="21" spans="2:12" s="136" customFormat="1" ht="6.95" customHeight="1" x14ac:dyDescent="0.25">
      <c r="B21" s="137"/>
      <c r="L21" s="137"/>
    </row>
    <row r="22" spans="2:12" s="136" customFormat="1" ht="12" customHeight="1" x14ac:dyDescent="0.25">
      <c r="B22" s="137"/>
      <c r="D22" s="133" t="s">
        <v>182</v>
      </c>
      <c r="I22" s="133" t="s">
        <v>503</v>
      </c>
      <c r="J22" s="132" t="str">
        <f>IF('[2]Rekapitulace stavby'!AN16="","",'[2]Rekapitulace stavby'!AN16)</f>
        <v/>
      </c>
      <c r="L22" s="137"/>
    </row>
    <row r="23" spans="2:12" s="136" customFormat="1" ht="18" customHeight="1" x14ac:dyDescent="0.25">
      <c r="B23" s="137"/>
      <c r="E23" s="132" t="str">
        <f>IF('[2]Rekapitulace stavby'!E17="","",'[2]Rekapitulace stavby'!E17)</f>
        <v xml:space="preserve"> </v>
      </c>
      <c r="I23" s="133" t="s">
        <v>504</v>
      </c>
      <c r="J23" s="132" t="str">
        <f>IF('[2]Rekapitulace stavby'!AN17="","",'[2]Rekapitulace stavby'!AN17)</f>
        <v/>
      </c>
      <c r="L23" s="137"/>
    </row>
    <row r="24" spans="2:12" s="136" customFormat="1" ht="6.95" customHeight="1" x14ac:dyDescent="0.25">
      <c r="B24" s="137"/>
      <c r="L24" s="137"/>
    </row>
    <row r="25" spans="2:12" s="136" customFormat="1" ht="12" customHeight="1" x14ac:dyDescent="0.25">
      <c r="B25" s="137"/>
      <c r="D25" s="133" t="s">
        <v>507</v>
      </c>
      <c r="I25" s="133" t="s">
        <v>503</v>
      </c>
      <c r="J25" s="132" t="str">
        <f>IF('[2]Rekapitulace stavby'!AN19="","",'[2]Rekapitulace stavby'!AN19)</f>
        <v/>
      </c>
      <c r="L25" s="137"/>
    </row>
    <row r="26" spans="2:12" s="136" customFormat="1" ht="18" customHeight="1" x14ac:dyDescent="0.25">
      <c r="B26" s="137"/>
      <c r="E26" s="132" t="str">
        <f>IF('[2]Rekapitulace stavby'!E20="","",'[2]Rekapitulace stavby'!E20)</f>
        <v xml:space="preserve"> </v>
      </c>
      <c r="I26" s="133" t="s">
        <v>504</v>
      </c>
      <c r="J26" s="132" t="str">
        <f>IF('[2]Rekapitulace stavby'!AN20="","",'[2]Rekapitulace stavby'!AN20)</f>
        <v/>
      </c>
      <c r="L26" s="137"/>
    </row>
    <row r="27" spans="2:12" s="136" customFormat="1" ht="6.95" customHeight="1" x14ac:dyDescent="0.25">
      <c r="B27" s="137"/>
      <c r="L27" s="137"/>
    </row>
    <row r="28" spans="2:12" s="136" customFormat="1" ht="12" customHeight="1" x14ac:dyDescent="0.25">
      <c r="B28" s="137"/>
      <c r="D28" s="133" t="s">
        <v>214</v>
      </c>
      <c r="L28" s="137"/>
    </row>
    <row r="29" spans="2:12" s="157" customFormat="1" ht="16.5" customHeight="1" x14ac:dyDescent="0.25">
      <c r="B29" s="158"/>
      <c r="E29" s="365" t="s">
        <v>180</v>
      </c>
      <c r="F29" s="365"/>
      <c r="G29" s="365"/>
      <c r="H29" s="365"/>
      <c r="L29" s="158"/>
    </row>
    <row r="30" spans="2:12" s="136" customFormat="1" ht="6.95" customHeight="1" x14ac:dyDescent="0.25">
      <c r="B30" s="137"/>
      <c r="L30" s="137"/>
    </row>
    <row r="31" spans="2:12" s="136" customFormat="1" ht="6.95" customHeight="1" x14ac:dyDescent="0.25">
      <c r="B31" s="137"/>
      <c r="D31" s="144"/>
      <c r="E31" s="144"/>
      <c r="F31" s="144"/>
      <c r="G31" s="144"/>
      <c r="H31" s="144"/>
      <c r="I31" s="144"/>
      <c r="J31" s="144"/>
      <c r="K31" s="144"/>
      <c r="L31" s="137"/>
    </row>
    <row r="32" spans="2:12" s="136" customFormat="1" ht="25.35" customHeight="1" x14ac:dyDescent="0.25">
      <c r="B32" s="137"/>
      <c r="D32" s="159" t="s">
        <v>508</v>
      </c>
      <c r="J32" s="153">
        <f>ROUND(J93, 2)</f>
        <v>0</v>
      </c>
      <c r="L32" s="137"/>
    </row>
    <row r="33" spans="2:12" s="136" customFormat="1" ht="6.95" customHeight="1" x14ac:dyDescent="0.25">
      <c r="B33" s="137"/>
      <c r="D33" s="144"/>
      <c r="E33" s="144"/>
      <c r="F33" s="144"/>
      <c r="G33" s="144"/>
      <c r="H33" s="144"/>
      <c r="I33" s="144"/>
      <c r="J33" s="144"/>
      <c r="K33" s="144"/>
      <c r="L33" s="137"/>
    </row>
    <row r="34" spans="2:12" s="136" customFormat="1" ht="14.45" customHeight="1" x14ac:dyDescent="0.25">
      <c r="B34" s="137"/>
      <c r="F34" s="138" t="s">
        <v>510</v>
      </c>
      <c r="I34" s="138" t="s">
        <v>509</v>
      </c>
      <c r="J34" s="138" t="s">
        <v>511</v>
      </c>
      <c r="L34" s="137"/>
    </row>
    <row r="35" spans="2:12" s="136" customFormat="1" ht="14.45" customHeight="1" x14ac:dyDescent="0.25">
      <c r="B35" s="137"/>
      <c r="D35" s="145" t="s">
        <v>512</v>
      </c>
      <c r="E35" s="133" t="s">
        <v>513</v>
      </c>
      <c r="F35" s="155">
        <f>ROUND((SUM(BE93:BE438)),  2)</f>
        <v>0</v>
      </c>
      <c r="I35" s="160">
        <v>0.21</v>
      </c>
      <c r="J35" s="155">
        <f>ROUND(((SUM(BE93:BE438))*I35),  2)</f>
        <v>0</v>
      </c>
      <c r="L35" s="137"/>
    </row>
    <row r="36" spans="2:12" s="136" customFormat="1" ht="14.45" customHeight="1" x14ac:dyDescent="0.25">
      <c r="B36" s="137"/>
      <c r="E36" s="133" t="s">
        <v>514</v>
      </c>
      <c r="F36" s="155">
        <f>ROUND((SUM(BF93:BF438)),  2)</f>
        <v>0</v>
      </c>
      <c r="I36" s="160">
        <v>0.15</v>
      </c>
      <c r="J36" s="155">
        <f>ROUND(((SUM(BF93:BF438))*I36),  2)</f>
        <v>0</v>
      </c>
      <c r="L36" s="137"/>
    </row>
    <row r="37" spans="2:12" s="136" customFormat="1" ht="14.45" hidden="1" customHeight="1" x14ac:dyDescent="0.25">
      <c r="B37" s="137"/>
      <c r="E37" s="133" t="s">
        <v>515</v>
      </c>
      <c r="F37" s="155">
        <f>ROUND((SUM(BG93:BG438)),  2)</f>
        <v>0</v>
      </c>
      <c r="I37" s="160">
        <v>0.21</v>
      </c>
      <c r="J37" s="155">
        <f>0</f>
        <v>0</v>
      </c>
      <c r="L37" s="137"/>
    </row>
    <row r="38" spans="2:12" s="136" customFormat="1" ht="14.45" hidden="1" customHeight="1" x14ac:dyDescent="0.25">
      <c r="B38" s="137"/>
      <c r="E38" s="133" t="s">
        <v>516</v>
      </c>
      <c r="F38" s="155">
        <f>ROUND((SUM(BH93:BH438)),  2)</f>
        <v>0</v>
      </c>
      <c r="I38" s="160">
        <v>0.15</v>
      </c>
      <c r="J38" s="155">
        <f>0</f>
        <v>0</v>
      </c>
      <c r="L38" s="137"/>
    </row>
    <row r="39" spans="2:12" s="136" customFormat="1" ht="14.45" hidden="1" customHeight="1" x14ac:dyDescent="0.25">
      <c r="B39" s="137"/>
      <c r="E39" s="133" t="s">
        <v>517</v>
      </c>
      <c r="F39" s="155">
        <f>ROUND((SUM(BI93:BI438)),  2)</f>
        <v>0</v>
      </c>
      <c r="I39" s="160">
        <v>0</v>
      </c>
      <c r="J39" s="155">
        <f>0</f>
        <v>0</v>
      </c>
      <c r="L39" s="137"/>
    </row>
    <row r="40" spans="2:12" s="136" customFormat="1" ht="6.95" customHeight="1" x14ac:dyDescent="0.25">
      <c r="B40" s="137"/>
      <c r="L40" s="137"/>
    </row>
    <row r="41" spans="2:12" s="136" customFormat="1" ht="25.35" customHeight="1" x14ac:dyDescent="0.25">
      <c r="B41" s="137"/>
      <c r="C41" s="161"/>
      <c r="D41" s="162" t="s">
        <v>518</v>
      </c>
      <c r="E41" s="147"/>
      <c r="F41" s="147"/>
      <c r="G41" s="163" t="s">
        <v>519</v>
      </c>
      <c r="H41" s="164" t="s">
        <v>520</v>
      </c>
      <c r="I41" s="147"/>
      <c r="J41" s="165">
        <f>SUM(J32:J39)</f>
        <v>0</v>
      </c>
      <c r="K41" s="166"/>
      <c r="L41" s="137"/>
    </row>
    <row r="42" spans="2:12" s="136" customFormat="1" ht="14.45" customHeight="1" x14ac:dyDescent="0.25"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37"/>
    </row>
    <row r="46" spans="2:12" s="136" customFormat="1" ht="6.95" customHeigh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37"/>
    </row>
    <row r="47" spans="2:12" s="136" customFormat="1" ht="24.95" customHeight="1" x14ac:dyDescent="0.25">
      <c r="B47" s="137"/>
      <c r="C47" s="131" t="s">
        <v>534</v>
      </c>
      <c r="L47" s="137"/>
    </row>
    <row r="48" spans="2:12" s="136" customFormat="1" ht="6.95" customHeight="1" x14ac:dyDescent="0.25">
      <c r="B48" s="137"/>
      <c r="L48" s="137"/>
    </row>
    <row r="49" spans="2:47" s="136" customFormat="1" ht="12" customHeight="1" x14ac:dyDescent="0.25">
      <c r="B49" s="137"/>
      <c r="C49" s="133" t="s">
        <v>498</v>
      </c>
      <c r="L49" s="137"/>
    </row>
    <row r="50" spans="2:47" s="136" customFormat="1" ht="16.5" customHeight="1" x14ac:dyDescent="0.25">
      <c r="B50" s="137"/>
      <c r="E50" s="367" t="str">
        <f>E7</f>
        <v>Karlovy Vary, Sady Karla IV – revitalizace veřejného prostranství</v>
      </c>
      <c r="F50" s="368"/>
      <c r="G50" s="368"/>
      <c r="H50" s="368"/>
      <c r="L50" s="137"/>
    </row>
    <row r="51" spans="2:47" ht="12" customHeight="1" x14ac:dyDescent="0.2">
      <c r="B51" s="130"/>
      <c r="C51" s="133" t="s">
        <v>531</v>
      </c>
      <c r="L51" s="130"/>
    </row>
    <row r="52" spans="2:47" s="136" customFormat="1" ht="16.5" customHeight="1" x14ac:dyDescent="0.25">
      <c r="B52" s="137"/>
      <c r="E52" s="367" t="s">
        <v>532</v>
      </c>
      <c r="F52" s="366"/>
      <c r="G52" s="366"/>
      <c r="H52" s="366"/>
      <c r="L52" s="137"/>
    </row>
    <row r="53" spans="2:47" s="136" customFormat="1" ht="12" customHeight="1" x14ac:dyDescent="0.25">
      <c r="B53" s="137"/>
      <c r="C53" s="133" t="s">
        <v>533</v>
      </c>
      <c r="L53" s="137"/>
    </row>
    <row r="54" spans="2:47" s="136" customFormat="1" ht="16.5" customHeight="1" x14ac:dyDescent="0.25">
      <c r="B54" s="137"/>
      <c r="E54" s="362" t="str">
        <f>E11</f>
        <v>SO 101 - Silnice</v>
      </c>
      <c r="F54" s="366"/>
      <c r="G54" s="366"/>
      <c r="H54" s="366"/>
      <c r="L54" s="137"/>
    </row>
    <row r="55" spans="2:47" s="136" customFormat="1" ht="6.95" customHeight="1" x14ac:dyDescent="0.25">
      <c r="B55" s="137"/>
      <c r="L55" s="137"/>
    </row>
    <row r="56" spans="2:47" s="136" customFormat="1" ht="12" customHeight="1" x14ac:dyDescent="0.25">
      <c r="B56" s="137"/>
      <c r="C56" s="133" t="s">
        <v>501</v>
      </c>
      <c r="F56" s="132" t="str">
        <f>F14</f>
        <v>Karlovy Vary</v>
      </c>
      <c r="I56" s="133" t="s">
        <v>4</v>
      </c>
      <c r="J56" s="143" t="str">
        <f>IF(J14="","",J14)</f>
        <v>18. 12. 2023</v>
      </c>
      <c r="L56" s="137"/>
    </row>
    <row r="57" spans="2:47" s="136" customFormat="1" ht="6.95" customHeight="1" x14ac:dyDescent="0.25">
      <c r="B57" s="137"/>
      <c r="L57" s="137"/>
    </row>
    <row r="58" spans="2:47" s="136" customFormat="1" ht="15.2" customHeight="1" x14ac:dyDescent="0.25">
      <c r="B58" s="137"/>
      <c r="C58" s="133" t="s">
        <v>502</v>
      </c>
      <c r="F58" s="132" t="str">
        <f>E17</f>
        <v>Statutární město Karlovy Vary</v>
      </c>
      <c r="I58" s="133" t="s">
        <v>182</v>
      </c>
      <c r="J58" s="135" t="str">
        <f>E23</f>
        <v xml:space="preserve"> </v>
      </c>
      <c r="L58" s="137"/>
    </row>
    <row r="59" spans="2:47" s="136" customFormat="1" ht="15.2" customHeight="1" x14ac:dyDescent="0.25">
      <c r="B59" s="137"/>
      <c r="C59" s="133" t="s">
        <v>505</v>
      </c>
      <c r="F59" s="132" t="str">
        <f>IF(E20="","",E20)</f>
        <v>Vyplň údaj</v>
      </c>
      <c r="I59" s="133" t="s">
        <v>507</v>
      </c>
      <c r="J59" s="135" t="str">
        <f>E26</f>
        <v xml:space="preserve"> </v>
      </c>
      <c r="L59" s="137"/>
    </row>
    <row r="60" spans="2:47" s="136" customFormat="1" ht="10.35" customHeight="1" x14ac:dyDescent="0.25">
      <c r="B60" s="137"/>
      <c r="L60" s="137"/>
    </row>
    <row r="61" spans="2:47" s="136" customFormat="1" ht="29.25" customHeight="1" x14ac:dyDescent="0.25">
      <c r="B61" s="137"/>
      <c r="C61" s="167" t="s">
        <v>535</v>
      </c>
      <c r="D61" s="161"/>
      <c r="E61" s="161"/>
      <c r="F61" s="161"/>
      <c r="G61" s="161"/>
      <c r="H61" s="161"/>
      <c r="I61" s="161"/>
      <c r="J61" s="168" t="s">
        <v>536</v>
      </c>
      <c r="K61" s="161"/>
      <c r="L61" s="137"/>
    </row>
    <row r="62" spans="2:47" s="136" customFormat="1" ht="10.35" customHeight="1" x14ac:dyDescent="0.25">
      <c r="B62" s="137"/>
      <c r="L62" s="137"/>
    </row>
    <row r="63" spans="2:47" s="136" customFormat="1" ht="22.9" customHeight="1" x14ac:dyDescent="0.25">
      <c r="B63" s="137"/>
      <c r="C63" s="169" t="s">
        <v>522</v>
      </c>
      <c r="J63" s="153">
        <f>J93</f>
        <v>0</v>
      </c>
      <c r="L63" s="137"/>
      <c r="AU63" s="127" t="s">
        <v>537</v>
      </c>
    </row>
    <row r="64" spans="2:47" s="170" customFormat="1" ht="24.95" customHeight="1" x14ac:dyDescent="0.25">
      <c r="B64" s="171"/>
      <c r="D64" s="172" t="s">
        <v>538</v>
      </c>
      <c r="E64" s="173"/>
      <c r="F64" s="173"/>
      <c r="G64" s="173"/>
      <c r="H64" s="173"/>
      <c r="I64" s="173"/>
      <c r="J64" s="174">
        <f>J94</f>
        <v>0</v>
      </c>
      <c r="L64" s="171"/>
    </row>
    <row r="65" spans="2:12" s="154" customFormat="1" ht="19.899999999999999" customHeight="1" x14ac:dyDescent="0.25">
      <c r="B65" s="175"/>
      <c r="D65" s="176" t="s">
        <v>539</v>
      </c>
      <c r="E65" s="177"/>
      <c r="F65" s="177"/>
      <c r="G65" s="177"/>
      <c r="H65" s="177"/>
      <c r="I65" s="177"/>
      <c r="J65" s="178">
        <f>J95</f>
        <v>0</v>
      </c>
      <c r="L65" s="175"/>
    </row>
    <row r="66" spans="2:12" s="154" customFormat="1" ht="19.899999999999999" customHeight="1" x14ac:dyDescent="0.25">
      <c r="B66" s="175"/>
      <c r="D66" s="176" t="s">
        <v>540</v>
      </c>
      <c r="E66" s="177"/>
      <c r="F66" s="177"/>
      <c r="G66" s="177"/>
      <c r="H66" s="177"/>
      <c r="I66" s="177"/>
      <c r="J66" s="178">
        <f>J197</f>
        <v>0</v>
      </c>
      <c r="L66" s="175"/>
    </row>
    <row r="67" spans="2:12" s="154" customFormat="1" ht="19.899999999999999" customHeight="1" x14ac:dyDescent="0.25">
      <c r="B67" s="175"/>
      <c r="D67" s="176" t="s">
        <v>541</v>
      </c>
      <c r="E67" s="177"/>
      <c r="F67" s="177"/>
      <c r="G67" s="177"/>
      <c r="H67" s="177"/>
      <c r="I67" s="177"/>
      <c r="J67" s="178">
        <f>J223</f>
        <v>0</v>
      </c>
      <c r="L67" s="175"/>
    </row>
    <row r="68" spans="2:12" s="154" customFormat="1" ht="19.899999999999999" customHeight="1" x14ac:dyDescent="0.25">
      <c r="B68" s="175"/>
      <c r="D68" s="176" t="s">
        <v>542</v>
      </c>
      <c r="E68" s="177"/>
      <c r="F68" s="177"/>
      <c r="G68" s="177"/>
      <c r="H68" s="177"/>
      <c r="I68" s="177"/>
      <c r="J68" s="178">
        <f>J283</f>
        <v>0</v>
      </c>
      <c r="L68" s="175"/>
    </row>
    <row r="69" spans="2:12" s="154" customFormat="1" ht="19.899999999999999" customHeight="1" x14ac:dyDescent="0.25">
      <c r="B69" s="175"/>
      <c r="D69" s="176" t="s">
        <v>543</v>
      </c>
      <c r="E69" s="177"/>
      <c r="F69" s="177"/>
      <c r="G69" s="177"/>
      <c r="H69" s="177"/>
      <c r="I69" s="177"/>
      <c r="J69" s="178">
        <f>J306</f>
        <v>0</v>
      </c>
      <c r="L69" s="175"/>
    </row>
    <row r="70" spans="2:12" s="154" customFormat="1" ht="19.899999999999999" customHeight="1" x14ac:dyDescent="0.25">
      <c r="B70" s="175"/>
      <c r="D70" s="176" t="s">
        <v>544</v>
      </c>
      <c r="E70" s="177"/>
      <c r="F70" s="177"/>
      <c r="G70" s="177"/>
      <c r="H70" s="177"/>
      <c r="I70" s="177"/>
      <c r="J70" s="178">
        <f>J390</f>
        <v>0</v>
      </c>
      <c r="L70" s="175"/>
    </row>
    <row r="71" spans="2:12" s="154" customFormat="1" ht="19.899999999999999" customHeight="1" x14ac:dyDescent="0.25">
      <c r="B71" s="175"/>
      <c r="D71" s="176" t="s">
        <v>545</v>
      </c>
      <c r="E71" s="177"/>
      <c r="F71" s="177"/>
      <c r="G71" s="177"/>
      <c r="H71" s="177"/>
      <c r="I71" s="177"/>
      <c r="J71" s="178">
        <f>J435</f>
        <v>0</v>
      </c>
      <c r="L71" s="175"/>
    </row>
    <row r="72" spans="2:12" s="136" customFormat="1" ht="21.75" customHeight="1" x14ac:dyDescent="0.25">
      <c r="B72" s="137"/>
      <c r="L72" s="137"/>
    </row>
    <row r="73" spans="2:12" s="136" customFormat="1" ht="6.95" customHeight="1" x14ac:dyDescent="0.2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37"/>
    </row>
    <row r="77" spans="2:12" s="136" customFormat="1" ht="6.95" customHeigh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37"/>
    </row>
    <row r="78" spans="2:12" s="136" customFormat="1" ht="24.95" customHeight="1" x14ac:dyDescent="0.25">
      <c r="B78" s="137"/>
      <c r="C78" s="131" t="s">
        <v>546</v>
      </c>
      <c r="L78" s="137"/>
    </row>
    <row r="79" spans="2:12" s="136" customFormat="1" ht="6.95" customHeight="1" x14ac:dyDescent="0.25">
      <c r="B79" s="137"/>
      <c r="L79" s="137"/>
    </row>
    <row r="80" spans="2:12" s="136" customFormat="1" ht="12" customHeight="1" x14ac:dyDescent="0.25">
      <c r="B80" s="137"/>
      <c r="C80" s="133" t="s">
        <v>498</v>
      </c>
      <c r="L80" s="137"/>
    </row>
    <row r="81" spans="2:65" s="136" customFormat="1" ht="16.5" customHeight="1" x14ac:dyDescent="0.25">
      <c r="B81" s="137"/>
      <c r="E81" s="367" t="str">
        <f>E7</f>
        <v>Karlovy Vary, Sady Karla IV – revitalizace veřejného prostranství</v>
      </c>
      <c r="F81" s="368"/>
      <c r="G81" s="368"/>
      <c r="H81" s="368"/>
      <c r="L81" s="137"/>
    </row>
    <row r="82" spans="2:65" ht="12" customHeight="1" x14ac:dyDescent="0.2">
      <c r="B82" s="130"/>
      <c r="C82" s="133" t="s">
        <v>531</v>
      </c>
      <c r="L82" s="130"/>
    </row>
    <row r="83" spans="2:65" s="136" customFormat="1" ht="16.5" customHeight="1" x14ac:dyDescent="0.25">
      <c r="B83" s="137"/>
      <c r="E83" s="367" t="s">
        <v>532</v>
      </c>
      <c r="F83" s="366"/>
      <c r="G83" s="366"/>
      <c r="H83" s="366"/>
      <c r="L83" s="137"/>
    </row>
    <row r="84" spans="2:65" s="136" customFormat="1" ht="12" customHeight="1" x14ac:dyDescent="0.25">
      <c r="B84" s="137"/>
      <c r="C84" s="133" t="s">
        <v>533</v>
      </c>
      <c r="L84" s="137"/>
    </row>
    <row r="85" spans="2:65" s="136" customFormat="1" ht="16.5" customHeight="1" x14ac:dyDescent="0.25">
      <c r="B85" s="137"/>
      <c r="E85" s="362" t="str">
        <f>E11</f>
        <v>SO 101 - Silnice</v>
      </c>
      <c r="F85" s="366"/>
      <c r="G85" s="366"/>
      <c r="H85" s="366"/>
      <c r="L85" s="137"/>
    </row>
    <row r="86" spans="2:65" s="136" customFormat="1" ht="6.95" customHeight="1" x14ac:dyDescent="0.25">
      <c r="B86" s="137"/>
      <c r="L86" s="137"/>
    </row>
    <row r="87" spans="2:65" s="136" customFormat="1" ht="12" customHeight="1" x14ac:dyDescent="0.25">
      <c r="B87" s="137"/>
      <c r="C87" s="133" t="s">
        <v>501</v>
      </c>
      <c r="F87" s="132" t="str">
        <f>F14</f>
        <v>Karlovy Vary</v>
      </c>
      <c r="I87" s="133" t="s">
        <v>4</v>
      </c>
      <c r="J87" s="143" t="str">
        <f>IF(J14="","",J14)</f>
        <v>18. 12. 2023</v>
      </c>
      <c r="L87" s="137"/>
    </row>
    <row r="88" spans="2:65" s="136" customFormat="1" ht="6.95" customHeight="1" x14ac:dyDescent="0.25">
      <c r="B88" s="137"/>
      <c r="L88" s="137"/>
    </row>
    <row r="89" spans="2:65" s="136" customFormat="1" ht="15.2" customHeight="1" x14ac:dyDescent="0.25">
      <c r="B89" s="137"/>
      <c r="C89" s="133" t="s">
        <v>502</v>
      </c>
      <c r="F89" s="132" t="str">
        <f>E17</f>
        <v>Statutární město Karlovy Vary</v>
      </c>
      <c r="I89" s="133" t="s">
        <v>182</v>
      </c>
      <c r="J89" s="135" t="str">
        <f>E23</f>
        <v xml:space="preserve"> </v>
      </c>
      <c r="L89" s="137"/>
    </row>
    <row r="90" spans="2:65" s="136" customFormat="1" ht="15.2" customHeight="1" x14ac:dyDescent="0.25">
      <c r="B90" s="137"/>
      <c r="C90" s="133" t="s">
        <v>505</v>
      </c>
      <c r="F90" s="132" t="str">
        <f>IF(E20="","",E20)</f>
        <v>Vyplň údaj</v>
      </c>
      <c r="I90" s="133" t="s">
        <v>507</v>
      </c>
      <c r="J90" s="135" t="str">
        <f>E26</f>
        <v xml:space="preserve"> </v>
      </c>
      <c r="L90" s="137"/>
    </row>
    <row r="91" spans="2:65" s="136" customFormat="1" ht="10.35" customHeight="1" x14ac:dyDescent="0.25">
      <c r="B91" s="137"/>
      <c r="L91" s="137"/>
    </row>
    <row r="92" spans="2:65" s="179" customFormat="1" ht="29.25" customHeight="1" x14ac:dyDescent="0.25">
      <c r="B92" s="180"/>
      <c r="C92" s="181" t="s">
        <v>547</v>
      </c>
      <c r="D92" s="182" t="s">
        <v>521</v>
      </c>
      <c r="E92" s="182" t="s">
        <v>23</v>
      </c>
      <c r="F92" s="182" t="s">
        <v>24</v>
      </c>
      <c r="G92" s="182" t="s">
        <v>25</v>
      </c>
      <c r="H92" s="182" t="s">
        <v>227</v>
      </c>
      <c r="I92" s="182" t="s">
        <v>548</v>
      </c>
      <c r="J92" s="182" t="s">
        <v>536</v>
      </c>
      <c r="K92" s="183" t="s">
        <v>549</v>
      </c>
      <c r="L92" s="180"/>
      <c r="M92" s="148" t="s">
        <v>180</v>
      </c>
      <c r="N92" s="149" t="s">
        <v>512</v>
      </c>
      <c r="O92" s="149" t="s">
        <v>550</v>
      </c>
      <c r="P92" s="149" t="s">
        <v>551</v>
      </c>
      <c r="Q92" s="149" t="s">
        <v>552</v>
      </c>
      <c r="R92" s="149" t="s">
        <v>553</v>
      </c>
      <c r="S92" s="149" t="s">
        <v>554</v>
      </c>
      <c r="T92" s="150" t="s">
        <v>555</v>
      </c>
    </row>
    <row r="93" spans="2:65" s="136" customFormat="1" ht="22.9" customHeight="1" x14ac:dyDescent="0.25">
      <c r="B93" s="137"/>
      <c r="C93" s="152" t="s">
        <v>556</v>
      </c>
      <c r="J93" s="184">
        <f>BK93</f>
        <v>0</v>
      </c>
      <c r="L93" s="137"/>
      <c r="M93" s="151"/>
      <c r="N93" s="144"/>
      <c r="O93" s="144"/>
      <c r="P93" s="185">
        <f>P94</f>
        <v>0</v>
      </c>
      <c r="Q93" s="144"/>
      <c r="R93" s="185">
        <f>R94</f>
        <v>513.91814480000005</v>
      </c>
      <c r="S93" s="144"/>
      <c r="T93" s="186">
        <f>T94</f>
        <v>1066.8210000000001</v>
      </c>
      <c r="AT93" s="127" t="s">
        <v>523</v>
      </c>
      <c r="AU93" s="127" t="s">
        <v>537</v>
      </c>
      <c r="BK93" s="187">
        <f>BK94</f>
        <v>0</v>
      </c>
    </row>
    <row r="94" spans="2:65" s="188" customFormat="1" ht="25.9" customHeight="1" x14ac:dyDescent="0.2">
      <c r="B94" s="189"/>
      <c r="D94" s="190" t="s">
        <v>523</v>
      </c>
      <c r="E94" s="191" t="s">
        <v>197</v>
      </c>
      <c r="F94" s="191" t="s">
        <v>557</v>
      </c>
      <c r="I94" s="192"/>
      <c r="J94" s="193">
        <f>BK94</f>
        <v>0</v>
      </c>
      <c r="L94" s="189"/>
      <c r="M94" s="194"/>
      <c r="P94" s="195">
        <f>P95+P197+P223+P283+P306+P390+P435</f>
        <v>0</v>
      </c>
      <c r="R94" s="195">
        <f>R95+R197+R223+R283+R306+R390+R435</f>
        <v>513.91814480000005</v>
      </c>
      <c r="T94" s="196">
        <f>T95+T197+T223+T283+T306+T390+T435</f>
        <v>1066.8210000000001</v>
      </c>
      <c r="AR94" s="190" t="s">
        <v>254</v>
      </c>
      <c r="AT94" s="197" t="s">
        <v>523</v>
      </c>
      <c r="AU94" s="197" t="s">
        <v>295</v>
      </c>
      <c r="AY94" s="190" t="s">
        <v>558</v>
      </c>
      <c r="BK94" s="198">
        <f>BK95+BK197+BK223+BK283+BK306+BK390+BK435</f>
        <v>0</v>
      </c>
    </row>
    <row r="95" spans="2:65" s="188" customFormat="1" ht="22.9" customHeight="1" x14ac:dyDescent="0.2">
      <c r="B95" s="189"/>
      <c r="D95" s="190" t="s">
        <v>523</v>
      </c>
      <c r="E95" s="199" t="s">
        <v>254</v>
      </c>
      <c r="F95" s="199" t="s">
        <v>559</v>
      </c>
      <c r="I95" s="192"/>
      <c r="J95" s="200">
        <f>BK95</f>
        <v>0</v>
      </c>
      <c r="L95" s="189"/>
      <c r="M95" s="194"/>
      <c r="P95" s="195">
        <f>SUM(P96:P196)</f>
        <v>0</v>
      </c>
      <c r="R95" s="195">
        <f>SUM(R96:R196)</f>
        <v>16.283449999999998</v>
      </c>
      <c r="T95" s="196">
        <f>SUM(T96:T196)</f>
        <v>1065.9550000000002</v>
      </c>
      <c r="AR95" s="190" t="s">
        <v>254</v>
      </c>
      <c r="AT95" s="197" t="s">
        <v>523</v>
      </c>
      <c r="AU95" s="197" t="s">
        <v>254</v>
      </c>
      <c r="AY95" s="190" t="s">
        <v>558</v>
      </c>
      <c r="BK95" s="198">
        <f>SUM(BK96:BK196)</f>
        <v>0</v>
      </c>
    </row>
    <row r="96" spans="2:65" s="136" customFormat="1" ht="16.5" customHeight="1" x14ac:dyDescent="0.25">
      <c r="B96" s="137"/>
      <c r="C96" s="201" t="s">
        <v>254</v>
      </c>
      <c r="D96" s="201" t="s">
        <v>560</v>
      </c>
      <c r="E96" s="202" t="s">
        <v>561</v>
      </c>
      <c r="F96" s="203" t="s">
        <v>1195</v>
      </c>
      <c r="G96" s="204" t="s">
        <v>255</v>
      </c>
      <c r="H96" s="205">
        <v>10</v>
      </c>
      <c r="I96" s="206"/>
      <c r="J96" s="207">
        <f>ROUND(I96*H96,2)</f>
        <v>0</v>
      </c>
      <c r="K96" s="203" t="s">
        <v>563</v>
      </c>
      <c r="L96" s="137"/>
      <c r="M96" s="208" t="s">
        <v>180</v>
      </c>
      <c r="N96" s="209" t="s">
        <v>513</v>
      </c>
      <c r="P96" s="210">
        <f>O96*H96</f>
        <v>0</v>
      </c>
      <c r="Q96" s="210">
        <v>0</v>
      </c>
      <c r="R96" s="210">
        <f>Q96*H96</f>
        <v>0</v>
      </c>
      <c r="S96" s="210">
        <v>0.26</v>
      </c>
      <c r="T96" s="211">
        <f>S96*H96</f>
        <v>2.6</v>
      </c>
      <c r="AR96" s="212" t="s">
        <v>263</v>
      </c>
      <c r="AT96" s="212" t="s">
        <v>560</v>
      </c>
      <c r="AU96" s="212" t="s">
        <v>260</v>
      </c>
      <c r="AY96" s="127" t="s">
        <v>558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27" t="s">
        <v>254</v>
      </c>
      <c r="BK96" s="213">
        <f>ROUND(I96*H96,2)</f>
        <v>0</v>
      </c>
      <c r="BL96" s="127" t="s">
        <v>263</v>
      </c>
      <c r="BM96" s="212" t="s">
        <v>564</v>
      </c>
    </row>
    <row r="97" spans="2:65" s="136" customFormat="1" ht="19.5" x14ac:dyDescent="0.25">
      <c r="B97" s="137"/>
      <c r="D97" s="219" t="s">
        <v>1196</v>
      </c>
      <c r="F97" s="351" t="s">
        <v>562</v>
      </c>
      <c r="I97" s="215"/>
      <c r="L97" s="137"/>
      <c r="M97" s="216"/>
      <c r="T97" s="146"/>
      <c r="AT97" s="127" t="s">
        <v>1196</v>
      </c>
      <c r="AU97" s="127" t="s">
        <v>260</v>
      </c>
    </row>
    <row r="98" spans="2:65" s="136" customFormat="1" x14ac:dyDescent="0.25">
      <c r="B98" s="137"/>
      <c r="D98" s="214" t="s">
        <v>565</v>
      </c>
      <c r="F98" s="288" t="s">
        <v>566</v>
      </c>
      <c r="I98" s="215"/>
      <c r="L98" s="137"/>
      <c r="M98" s="216"/>
      <c r="T98" s="146"/>
      <c r="AT98" s="127" t="s">
        <v>565</v>
      </c>
      <c r="AU98" s="127" t="s">
        <v>260</v>
      </c>
    </row>
    <row r="99" spans="2:65" s="217" customFormat="1" x14ac:dyDescent="0.25">
      <c r="B99" s="218"/>
      <c r="D99" s="219" t="s">
        <v>567</v>
      </c>
      <c r="E99" s="220" t="s">
        <v>180</v>
      </c>
      <c r="F99" s="221" t="s">
        <v>568</v>
      </c>
      <c r="H99" s="222">
        <v>10</v>
      </c>
      <c r="I99" s="223"/>
      <c r="L99" s="218"/>
      <c r="M99" s="224"/>
      <c r="T99" s="225"/>
      <c r="AT99" s="220" t="s">
        <v>567</v>
      </c>
      <c r="AU99" s="220" t="s">
        <v>260</v>
      </c>
      <c r="AV99" s="217" t="s">
        <v>260</v>
      </c>
      <c r="AW99" s="217" t="s">
        <v>506</v>
      </c>
      <c r="AX99" s="217" t="s">
        <v>254</v>
      </c>
      <c r="AY99" s="220" t="s">
        <v>558</v>
      </c>
    </row>
    <row r="100" spans="2:65" s="136" customFormat="1" ht="16.5" customHeight="1" x14ac:dyDescent="0.25">
      <c r="B100" s="137"/>
      <c r="C100" s="201" t="s">
        <v>260</v>
      </c>
      <c r="D100" s="201" t="s">
        <v>560</v>
      </c>
      <c r="E100" s="202" t="s">
        <v>569</v>
      </c>
      <c r="F100" s="203" t="s">
        <v>1197</v>
      </c>
      <c r="G100" s="204" t="s">
        <v>255</v>
      </c>
      <c r="H100" s="205">
        <v>150</v>
      </c>
      <c r="I100" s="206"/>
      <c r="J100" s="207">
        <f>ROUND(I100*H100,2)</f>
        <v>0</v>
      </c>
      <c r="K100" s="203" t="s">
        <v>563</v>
      </c>
      <c r="L100" s="137"/>
      <c r="M100" s="208" t="s">
        <v>180</v>
      </c>
      <c r="N100" s="209" t="s">
        <v>513</v>
      </c>
      <c r="P100" s="210">
        <f>O100*H100</f>
        <v>0</v>
      </c>
      <c r="Q100" s="210">
        <v>0</v>
      </c>
      <c r="R100" s="210">
        <f>Q100*H100</f>
        <v>0</v>
      </c>
      <c r="S100" s="210">
        <v>0.32</v>
      </c>
      <c r="T100" s="211">
        <f>S100*H100</f>
        <v>48</v>
      </c>
      <c r="AR100" s="212" t="s">
        <v>263</v>
      </c>
      <c r="AT100" s="212" t="s">
        <v>560</v>
      </c>
      <c r="AU100" s="212" t="s">
        <v>260</v>
      </c>
      <c r="AY100" s="127" t="s">
        <v>558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27" t="s">
        <v>254</v>
      </c>
      <c r="BK100" s="213">
        <f>ROUND(I100*H100,2)</f>
        <v>0</v>
      </c>
      <c r="BL100" s="127" t="s">
        <v>263</v>
      </c>
      <c r="BM100" s="212" t="s">
        <v>571</v>
      </c>
    </row>
    <row r="101" spans="2:65" s="136" customFormat="1" ht="19.5" x14ac:dyDescent="0.25">
      <c r="B101" s="137"/>
      <c r="D101" s="219" t="s">
        <v>1196</v>
      </c>
      <c r="F101" s="351" t="s">
        <v>570</v>
      </c>
      <c r="I101" s="215"/>
      <c r="L101" s="137"/>
      <c r="M101" s="216"/>
      <c r="T101" s="146"/>
      <c r="AT101" s="127" t="s">
        <v>1196</v>
      </c>
      <c r="AU101" s="127" t="s">
        <v>260</v>
      </c>
    </row>
    <row r="102" spans="2:65" s="136" customFormat="1" x14ac:dyDescent="0.25">
      <c r="B102" s="137"/>
      <c r="D102" s="214" t="s">
        <v>565</v>
      </c>
      <c r="F102" s="288" t="s">
        <v>572</v>
      </c>
      <c r="I102" s="215"/>
      <c r="L102" s="137"/>
      <c r="M102" s="216"/>
      <c r="T102" s="146"/>
      <c r="AT102" s="127" t="s">
        <v>565</v>
      </c>
      <c r="AU102" s="127" t="s">
        <v>260</v>
      </c>
    </row>
    <row r="103" spans="2:65" s="217" customFormat="1" x14ac:dyDescent="0.25">
      <c r="B103" s="218"/>
      <c r="D103" s="219" t="s">
        <v>567</v>
      </c>
      <c r="E103" s="220" t="s">
        <v>180</v>
      </c>
      <c r="F103" s="221" t="s">
        <v>573</v>
      </c>
      <c r="H103" s="222">
        <v>150</v>
      </c>
      <c r="I103" s="223"/>
      <c r="L103" s="218"/>
      <c r="M103" s="224"/>
      <c r="T103" s="225"/>
      <c r="AT103" s="220" t="s">
        <v>567</v>
      </c>
      <c r="AU103" s="220" t="s">
        <v>260</v>
      </c>
      <c r="AV103" s="217" t="s">
        <v>260</v>
      </c>
      <c r="AW103" s="217" t="s">
        <v>506</v>
      </c>
      <c r="AX103" s="217" t="s">
        <v>254</v>
      </c>
      <c r="AY103" s="220" t="s">
        <v>558</v>
      </c>
    </row>
    <row r="104" spans="2:65" s="136" customFormat="1" ht="16.5" customHeight="1" x14ac:dyDescent="0.25">
      <c r="B104" s="137"/>
      <c r="C104" s="201" t="s">
        <v>262</v>
      </c>
      <c r="D104" s="201" t="s">
        <v>560</v>
      </c>
      <c r="E104" s="202" t="s">
        <v>574</v>
      </c>
      <c r="F104" s="203" t="s">
        <v>1198</v>
      </c>
      <c r="G104" s="204" t="s">
        <v>255</v>
      </c>
      <c r="H104" s="205">
        <v>12</v>
      </c>
      <c r="I104" s="206"/>
      <c r="J104" s="207">
        <f>ROUND(I104*H104,2)</f>
        <v>0</v>
      </c>
      <c r="K104" s="203" t="s">
        <v>563</v>
      </c>
      <c r="L104" s="137"/>
      <c r="M104" s="208" t="s">
        <v>180</v>
      </c>
      <c r="N104" s="209" t="s">
        <v>513</v>
      </c>
      <c r="P104" s="210">
        <f>O104*H104</f>
        <v>0</v>
      </c>
      <c r="Q104" s="210">
        <v>0</v>
      </c>
      <c r="R104" s="210">
        <f>Q104*H104</f>
        <v>0</v>
      </c>
      <c r="S104" s="210">
        <v>0.44</v>
      </c>
      <c r="T104" s="211">
        <f>S104*H104</f>
        <v>5.28</v>
      </c>
      <c r="AR104" s="212" t="s">
        <v>263</v>
      </c>
      <c r="AT104" s="212" t="s">
        <v>560</v>
      </c>
      <c r="AU104" s="212" t="s">
        <v>260</v>
      </c>
      <c r="AY104" s="127" t="s">
        <v>558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27" t="s">
        <v>254</v>
      </c>
      <c r="BK104" s="213">
        <f>ROUND(I104*H104,2)</f>
        <v>0</v>
      </c>
      <c r="BL104" s="127" t="s">
        <v>263</v>
      </c>
      <c r="BM104" s="212" t="s">
        <v>576</v>
      </c>
    </row>
    <row r="105" spans="2:65" s="136" customFormat="1" ht="19.5" x14ac:dyDescent="0.25">
      <c r="B105" s="137"/>
      <c r="D105" s="219" t="s">
        <v>1196</v>
      </c>
      <c r="F105" s="351" t="s">
        <v>575</v>
      </c>
      <c r="I105" s="215"/>
      <c r="L105" s="137"/>
      <c r="M105" s="216"/>
      <c r="T105" s="146"/>
      <c r="AT105" s="127" t="s">
        <v>1196</v>
      </c>
      <c r="AU105" s="127" t="s">
        <v>260</v>
      </c>
    </row>
    <row r="106" spans="2:65" s="136" customFormat="1" x14ac:dyDescent="0.25">
      <c r="B106" s="137"/>
      <c r="D106" s="214" t="s">
        <v>565</v>
      </c>
      <c r="F106" s="288" t="s">
        <v>577</v>
      </c>
      <c r="I106" s="215"/>
      <c r="L106" s="137"/>
      <c r="M106" s="216"/>
      <c r="T106" s="146"/>
      <c r="AT106" s="127" t="s">
        <v>565</v>
      </c>
      <c r="AU106" s="127" t="s">
        <v>260</v>
      </c>
    </row>
    <row r="107" spans="2:65" s="217" customFormat="1" x14ac:dyDescent="0.25">
      <c r="B107" s="218"/>
      <c r="D107" s="219" t="s">
        <v>567</v>
      </c>
      <c r="E107" s="220" t="s">
        <v>180</v>
      </c>
      <c r="F107" s="221" t="s">
        <v>578</v>
      </c>
      <c r="H107" s="222">
        <v>12</v>
      </c>
      <c r="I107" s="223"/>
      <c r="L107" s="218"/>
      <c r="M107" s="224"/>
      <c r="T107" s="225"/>
      <c r="AT107" s="220" t="s">
        <v>567</v>
      </c>
      <c r="AU107" s="220" t="s">
        <v>260</v>
      </c>
      <c r="AV107" s="217" t="s">
        <v>260</v>
      </c>
      <c r="AW107" s="217" t="s">
        <v>506</v>
      </c>
      <c r="AX107" s="217" t="s">
        <v>254</v>
      </c>
      <c r="AY107" s="220" t="s">
        <v>558</v>
      </c>
    </row>
    <row r="108" spans="2:65" s="136" customFormat="1" ht="16.5" customHeight="1" x14ac:dyDescent="0.25">
      <c r="B108" s="137"/>
      <c r="C108" s="201" t="s">
        <v>263</v>
      </c>
      <c r="D108" s="201" t="s">
        <v>560</v>
      </c>
      <c r="E108" s="202" t="s">
        <v>579</v>
      </c>
      <c r="F108" s="203" t="s">
        <v>1199</v>
      </c>
      <c r="G108" s="204" t="s">
        <v>255</v>
      </c>
      <c r="H108" s="205">
        <v>12</v>
      </c>
      <c r="I108" s="206"/>
      <c r="J108" s="207">
        <f>ROUND(I108*H108,2)</f>
        <v>0</v>
      </c>
      <c r="K108" s="203" t="s">
        <v>563</v>
      </c>
      <c r="L108" s="137"/>
      <c r="M108" s="208" t="s">
        <v>180</v>
      </c>
      <c r="N108" s="209" t="s">
        <v>513</v>
      </c>
      <c r="P108" s="210">
        <f>O108*H108</f>
        <v>0</v>
      </c>
      <c r="Q108" s="210">
        <v>0</v>
      </c>
      <c r="R108" s="210">
        <f>Q108*H108</f>
        <v>0</v>
      </c>
      <c r="S108" s="210">
        <v>0.22</v>
      </c>
      <c r="T108" s="211">
        <f>S108*H108</f>
        <v>2.64</v>
      </c>
      <c r="AR108" s="212" t="s">
        <v>263</v>
      </c>
      <c r="AT108" s="212" t="s">
        <v>560</v>
      </c>
      <c r="AU108" s="212" t="s">
        <v>260</v>
      </c>
      <c r="AY108" s="127" t="s">
        <v>558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27" t="s">
        <v>254</v>
      </c>
      <c r="BK108" s="213">
        <f>ROUND(I108*H108,2)</f>
        <v>0</v>
      </c>
      <c r="BL108" s="127" t="s">
        <v>263</v>
      </c>
      <c r="BM108" s="212" t="s">
        <v>581</v>
      </c>
    </row>
    <row r="109" spans="2:65" s="136" customFormat="1" ht="19.5" x14ac:dyDescent="0.25">
      <c r="B109" s="137"/>
      <c r="D109" s="219" t="s">
        <v>1196</v>
      </c>
      <c r="F109" s="351" t="s">
        <v>580</v>
      </c>
      <c r="I109" s="215"/>
      <c r="L109" s="137"/>
      <c r="M109" s="216"/>
      <c r="T109" s="146"/>
      <c r="AT109" s="127" t="s">
        <v>1196</v>
      </c>
      <c r="AU109" s="127" t="s">
        <v>260</v>
      </c>
    </row>
    <row r="110" spans="2:65" s="136" customFormat="1" x14ac:dyDescent="0.25">
      <c r="B110" s="137"/>
      <c r="D110" s="214" t="s">
        <v>565</v>
      </c>
      <c r="F110" s="288" t="s">
        <v>582</v>
      </c>
      <c r="I110" s="215"/>
      <c r="L110" s="137"/>
      <c r="M110" s="216"/>
      <c r="T110" s="146"/>
      <c r="AT110" s="127" t="s">
        <v>565</v>
      </c>
      <c r="AU110" s="127" t="s">
        <v>260</v>
      </c>
    </row>
    <row r="111" spans="2:65" s="217" customFormat="1" x14ac:dyDescent="0.25">
      <c r="B111" s="218"/>
      <c r="D111" s="219" t="s">
        <v>567</v>
      </c>
      <c r="E111" s="220" t="s">
        <v>180</v>
      </c>
      <c r="F111" s="221" t="s">
        <v>583</v>
      </c>
      <c r="H111" s="222">
        <v>12</v>
      </c>
      <c r="I111" s="223"/>
      <c r="L111" s="218"/>
      <c r="M111" s="224"/>
      <c r="T111" s="225"/>
      <c r="AT111" s="220" t="s">
        <v>567</v>
      </c>
      <c r="AU111" s="220" t="s">
        <v>260</v>
      </c>
      <c r="AV111" s="217" t="s">
        <v>260</v>
      </c>
      <c r="AW111" s="217" t="s">
        <v>506</v>
      </c>
      <c r="AX111" s="217" t="s">
        <v>254</v>
      </c>
      <c r="AY111" s="220" t="s">
        <v>558</v>
      </c>
    </row>
    <row r="112" spans="2:65" s="136" customFormat="1" ht="21.75" customHeight="1" x14ac:dyDescent="0.25">
      <c r="B112" s="137"/>
      <c r="C112" s="201" t="s">
        <v>264</v>
      </c>
      <c r="D112" s="201" t="s">
        <v>560</v>
      </c>
      <c r="E112" s="202" t="s">
        <v>584</v>
      </c>
      <c r="F112" s="203" t="s">
        <v>1200</v>
      </c>
      <c r="G112" s="204" t="s">
        <v>255</v>
      </c>
      <c r="H112" s="205">
        <v>75</v>
      </c>
      <c r="I112" s="206"/>
      <c r="J112" s="207">
        <f>ROUND(I112*H112,2)</f>
        <v>0</v>
      </c>
      <c r="K112" s="203" t="s">
        <v>563</v>
      </c>
      <c r="L112" s="137"/>
      <c r="M112" s="208" t="s">
        <v>180</v>
      </c>
      <c r="N112" s="209" t="s">
        <v>513</v>
      </c>
      <c r="P112" s="210">
        <f>O112*H112</f>
        <v>0</v>
      </c>
      <c r="Q112" s="210">
        <v>0</v>
      </c>
      <c r="R112" s="210">
        <f>Q112*H112</f>
        <v>0</v>
      </c>
      <c r="S112" s="210">
        <v>0.28999999999999998</v>
      </c>
      <c r="T112" s="211">
        <f>S112*H112</f>
        <v>21.75</v>
      </c>
      <c r="AR112" s="212" t="s">
        <v>263</v>
      </c>
      <c r="AT112" s="212" t="s">
        <v>560</v>
      </c>
      <c r="AU112" s="212" t="s">
        <v>260</v>
      </c>
      <c r="AY112" s="127" t="s">
        <v>558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27" t="s">
        <v>254</v>
      </c>
      <c r="BK112" s="213">
        <f>ROUND(I112*H112,2)</f>
        <v>0</v>
      </c>
      <c r="BL112" s="127" t="s">
        <v>263</v>
      </c>
      <c r="BM112" s="212" t="s">
        <v>586</v>
      </c>
    </row>
    <row r="113" spans="2:65" s="136" customFormat="1" ht="19.5" x14ac:dyDescent="0.25">
      <c r="B113" s="137"/>
      <c r="D113" s="219" t="s">
        <v>1196</v>
      </c>
      <c r="F113" s="351" t="s">
        <v>585</v>
      </c>
      <c r="I113" s="215"/>
      <c r="L113" s="137"/>
      <c r="M113" s="216"/>
      <c r="T113" s="146"/>
      <c r="AT113" s="127" t="s">
        <v>1196</v>
      </c>
      <c r="AU113" s="127" t="s">
        <v>260</v>
      </c>
    </row>
    <row r="114" spans="2:65" s="136" customFormat="1" x14ac:dyDescent="0.25">
      <c r="B114" s="137"/>
      <c r="D114" s="214" t="s">
        <v>565</v>
      </c>
      <c r="F114" s="288" t="s">
        <v>587</v>
      </c>
      <c r="I114" s="215"/>
      <c r="L114" s="137"/>
      <c r="M114" s="216"/>
      <c r="T114" s="146"/>
      <c r="AT114" s="127" t="s">
        <v>565</v>
      </c>
      <c r="AU114" s="127" t="s">
        <v>260</v>
      </c>
    </row>
    <row r="115" spans="2:65" s="217" customFormat="1" x14ac:dyDescent="0.25">
      <c r="B115" s="218"/>
      <c r="D115" s="219" t="s">
        <v>567</v>
      </c>
      <c r="E115" s="220" t="s">
        <v>180</v>
      </c>
      <c r="F115" s="221" t="s">
        <v>588</v>
      </c>
      <c r="H115" s="222">
        <v>75</v>
      </c>
      <c r="I115" s="223"/>
      <c r="L115" s="218"/>
      <c r="M115" s="224"/>
      <c r="T115" s="225"/>
      <c r="AT115" s="220" t="s">
        <v>567</v>
      </c>
      <c r="AU115" s="220" t="s">
        <v>260</v>
      </c>
      <c r="AV115" s="217" t="s">
        <v>260</v>
      </c>
      <c r="AW115" s="217" t="s">
        <v>506</v>
      </c>
      <c r="AX115" s="217" t="s">
        <v>254</v>
      </c>
      <c r="AY115" s="220" t="s">
        <v>558</v>
      </c>
    </row>
    <row r="116" spans="2:65" s="136" customFormat="1" ht="16.5" customHeight="1" x14ac:dyDescent="0.25">
      <c r="B116" s="137"/>
      <c r="C116" s="201" t="s">
        <v>265</v>
      </c>
      <c r="D116" s="201" t="s">
        <v>560</v>
      </c>
      <c r="E116" s="202" t="s">
        <v>589</v>
      </c>
      <c r="F116" s="203" t="s">
        <v>1201</v>
      </c>
      <c r="G116" s="204" t="s">
        <v>255</v>
      </c>
      <c r="H116" s="205">
        <v>430</v>
      </c>
      <c r="I116" s="206"/>
      <c r="J116" s="207">
        <f>ROUND(I116*H116,2)</f>
        <v>0</v>
      </c>
      <c r="K116" s="203" t="s">
        <v>563</v>
      </c>
      <c r="L116" s="137"/>
      <c r="M116" s="208" t="s">
        <v>180</v>
      </c>
      <c r="N116" s="209" t="s">
        <v>513</v>
      </c>
      <c r="P116" s="210">
        <f>O116*H116</f>
        <v>0</v>
      </c>
      <c r="Q116" s="210">
        <v>0</v>
      </c>
      <c r="R116" s="210">
        <f>Q116*H116</f>
        <v>0</v>
      </c>
      <c r="S116" s="210">
        <v>0.44</v>
      </c>
      <c r="T116" s="211">
        <f>S116*H116</f>
        <v>189.2</v>
      </c>
      <c r="AR116" s="212" t="s">
        <v>263</v>
      </c>
      <c r="AT116" s="212" t="s">
        <v>560</v>
      </c>
      <c r="AU116" s="212" t="s">
        <v>260</v>
      </c>
      <c r="AY116" s="127" t="s">
        <v>558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27" t="s">
        <v>254</v>
      </c>
      <c r="BK116" s="213">
        <f>ROUND(I116*H116,2)</f>
        <v>0</v>
      </c>
      <c r="BL116" s="127" t="s">
        <v>263</v>
      </c>
      <c r="BM116" s="212" t="s">
        <v>591</v>
      </c>
    </row>
    <row r="117" spans="2:65" s="136" customFormat="1" ht="19.5" x14ac:dyDescent="0.25">
      <c r="B117" s="137"/>
      <c r="D117" s="219" t="s">
        <v>1196</v>
      </c>
      <c r="F117" s="351" t="s">
        <v>590</v>
      </c>
      <c r="I117" s="215"/>
      <c r="L117" s="137"/>
      <c r="M117" s="216"/>
      <c r="T117" s="146"/>
      <c r="AT117" s="127" t="s">
        <v>1196</v>
      </c>
      <c r="AU117" s="127" t="s">
        <v>260</v>
      </c>
    </row>
    <row r="118" spans="2:65" s="136" customFormat="1" x14ac:dyDescent="0.25">
      <c r="B118" s="137"/>
      <c r="D118" s="214" t="s">
        <v>565</v>
      </c>
      <c r="F118" s="288" t="s">
        <v>592</v>
      </c>
      <c r="I118" s="215"/>
      <c r="L118" s="137"/>
      <c r="M118" s="216"/>
      <c r="T118" s="146"/>
      <c r="AT118" s="127" t="s">
        <v>565</v>
      </c>
      <c r="AU118" s="127" t="s">
        <v>260</v>
      </c>
    </row>
    <row r="119" spans="2:65" s="217" customFormat="1" x14ac:dyDescent="0.25">
      <c r="B119" s="218"/>
      <c r="D119" s="219" t="s">
        <v>567</v>
      </c>
      <c r="E119" s="220" t="s">
        <v>180</v>
      </c>
      <c r="F119" s="221" t="s">
        <v>593</v>
      </c>
      <c r="H119" s="222">
        <v>150</v>
      </c>
      <c r="I119" s="223"/>
      <c r="L119" s="218"/>
      <c r="M119" s="224"/>
      <c r="T119" s="225"/>
      <c r="AT119" s="220" t="s">
        <v>567</v>
      </c>
      <c r="AU119" s="220" t="s">
        <v>260</v>
      </c>
      <c r="AV119" s="217" t="s">
        <v>260</v>
      </c>
      <c r="AW119" s="217" t="s">
        <v>506</v>
      </c>
      <c r="AX119" s="217" t="s">
        <v>295</v>
      </c>
      <c r="AY119" s="220" t="s">
        <v>558</v>
      </c>
    </row>
    <row r="120" spans="2:65" s="217" customFormat="1" x14ac:dyDescent="0.25">
      <c r="B120" s="218"/>
      <c r="D120" s="219" t="s">
        <v>567</v>
      </c>
      <c r="E120" s="220" t="s">
        <v>180</v>
      </c>
      <c r="F120" s="221" t="s">
        <v>594</v>
      </c>
      <c r="H120" s="222">
        <v>280</v>
      </c>
      <c r="I120" s="223"/>
      <c r="L120" s="218"/>
      <c r="M120" s="224"/>
      <c r="T120" s="225"/>
      <c r="AT120" s="220" t="s">
        <v>567</v>
      </c>
      <c r="AU120" s="220" t="s">
        <v>260</v>
      </c>
      <c r="AV120" s="217" t="s">
        <v>260</v>
      </c>
      <c r="AW120" s="217" t="s">
        <v>506</v>
      </c>
      <c r="AX120" s="217" t="s">
        <v>295</v>
      </c>
      <c r="AY120" s="220" t="s">
        <v>558</v>
      </c>
    </row>
    <row r="121" spans="2:65" s="226" customFormat="1" x14ac:dyDescent="0.25">
      <c r="B121" s="227"/>
      <c r="D121" s="219" t="s">
        <v>567</v>
      </c>
      <c r="E121" s="228" t="s">
        <v>180</v>
      </c>
      <c r="F121" s="229" t="s">
        <v>595</v>
      </c>
      <c r="H121" s="230">
        <v>430</v>
      </c>
      <c r="I121" s="231"/>
      <c r="L121" s="227"/>
      <c r="M121" s="232"/>
      <c r="T121" s="233"/>
      <c r="AT121" s="228" t="s">
        <v>567</v>
      </c>
      <c r="AU121" s="228" t="s">
        <v>260</v>
      </c>
      <c r="AV121" s="226" t="s">
        <v>263</v>
      </c>
      <c r="AW121" s="226" t="s">
        <v>506</v>
      </c>
      <c r="AX121" s="226" t="s">
        <v>254</v>
      </c>
      <c r="AY121" s="228" t="s">
        <v>558</v>
      </c>
    </row>
    <row r="122" spans="2:65" s="136" customFormat="1" ht="16.5" customHeight="1" x14ac:dyDescent="0.25">
      <c r="B122" s="137"/>
      <c r="C122" s="201" t="s">
        <v>266</v>
      </c>
      <c r="D122" s="201" t="s">
        <v>560</v>
      </c>
      <c r="E122" s="202" t="s">
        <v>596</v>
      </c>
      <c r="F122" s="203" t="s">
        <v>1202</v>
      </c>
      <c r="G122" s="204" t="s">
        <v>255</v>
      </c>
      <c r="H122" s="205">
        <v>647</v>
      </c>
      <c r="I122" s="206"/>
      <c r="J122" s="207">
        <f>ROUND(I122*H122,2)</f>
        <v>0</v>
      </c>
      <c r="K122" s="203" t="s">
        <v>563</v>
      </c>
      <c r="L122" s="137"/>
      <c r="M122" s="208" t="s">
        <v>180</v>
      </c>
      <c r="N122" s="209" t="s">
        <v>513</v>
      </c>
      <c r="P122" s="210">
        <f>O122*H122</f>
        <v>0</v>
      </c>
      <c r="Q122" s="210">
        <v>0</v>
      </c>
      <c r="R122" s="210">
        <f>Q122*H122</f>
        <v>0</v>
      </c>
      <c r="S122" s="210">
        <v>0.75</v>
      </c>
      <c r="T122" s="211">
        <f>S122*H122</f>
        <v>485.25</v>
      </c>
      <c r="AR122" s="212" t="s">
        <v>263</v>
      </c>
      <c r="AT122" s="212" t="s">
        <v>560</v>
      </c>
      <c r="AU122" s="212" t="s">
        <v>260</v>
      </c>
      <c r="AY122" s="127" t="s">
        <v>558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27" t="s">
        <v>254</v>
      </c>
      <c r="BK122" s="213">
        <f>ROUND(I122*H122,2)</f>
        <v>0</v>
      </c>
      <c r="BL122" s="127" t="s">
        <v>263</v>
      </c>
      <c r="BM122" s="212" t="s">
        <v>598</v>
      </c>
    </row>
    <row r="123" spans="2:65" s="136" customFormat="1" ht="19.5" x14ac:dyDescent="0.25">
      <c r="B123" s="137"/>
      <c r="D123" s="219" t="s">
        <v>1196</v>
      </c>
      <c r="F123" s="351" t="s">
        <v>597</v>
      </c>
      <c r="I123" s="215"/>
      <c r="L123" s="137"/>
      <c r="M123" s="216"/>
      <c r="T123" s="146"/>
      <c r="AT123" s="127" t="s">
        <v>1196</v>
      </c>
      <c r="AU123" s="127" t="s">
        <v>260</v>
      </c>
    </row>
    <row r="124" spans="2:65" s="136" customFormat="1" x14ac:dyDescent="0.25">
      <c r="B124" s="137"/>
      <c r="D124" s="214" t="s">
        <v>565</v>
      </c>
      <c r="F124" s="288" t="s">
        <v>599</v>
      </c>
      <c r="I124" s="215"/>
      <c r="L124" s="137"/>
      <c r="M124" s="216"/>
      <c r="T124" s="146"/>
      <c r="AT124" s="127" t="s">
        <v>565</v>
      </c>
      <c r="AU124" s="127" t="s">
        <v>260</v>
      </c>
    </row>
    <row r="125" spans="2:65" s="217" customFormat="1" x14ac:dyDescent="0.25">
      <c r="B125" s="218"/>
      <c r="D125" s="219" t="s">
        <v>567</v>
      </c>
      <c r="E125" s="220" t="s">
        <v>180</v>
      </c>
      <c r="F125" s="221" t="s">
        <v>600</v>
      </c>
      <c r="H125" s="222">
        <v>647</v>
      </c>
      <c r="I125" s="223"/>
      <c r="L125" s="218"/>
      <c r="M125" s="224"/>
      <c r="T125" s="225"/>
      <c r="AT125" s="220" t="s">
        <v>567</v>
      </c>
      <c r="AU125" s="220" t="s">
        <v>260</v>
      </c>
      <c r="AV125" s="217" t="s">
        <v>260</v>
      </c>
      <c r="AW125" s="217" t="s">
        <v>506</v>
      </c>
      <c r="AX125" s="217" t="s">
        <v>254</v>
      </c>
      <c r="AY125" s="220" t="s">
        <v>558</v>
      </c>
    </row>
    <row r="126" spans="2:65" s="136" customFormat="1" ht="16.5" customHeight="1" x14ac:dyDescent="0.25">
      <c r="B126" s="137"/>
      <c r="C126" s="201" t="s">
        <v>267</v>
      </c>
      <c r="D126" s="201" t="s">
        <v>560</v>
      </c>
      <c r="E126" s="202" t="s">
        <v>601</v>
      </c>
      <c r="F126" s="203" t="s">
        <v>1203</v>
      </c>
      <c r="G126" s="204" t="s">
        <v>255</v>
      </c>
      <c r="H126" s="205">
        <v>280</v>
      </c>
      <c r="I126" s="206"/>
      <c r="J126" s="207">
        <f>ROUND(I126*H126,2)</f>
        <v>0</v>
      </c>
      <c r="K126" s="203" t="s">
        <v>563</v>
      </c>
      <c r="L126" s="137"/>
      <c r="M126" s="208" t="s">
        <v>180</v>
      </c>
      <c r="N126" s="209" t="s">
        <v>513</v>
      </c>
      <c r="P126" s="210">
        <f>O126*H126</f>
        <v>0</v>
      </c>
      <c r="Q126" s="210">
        <v>0</v>
      </c>
      <c r="R126" s="210">
        <f>Q126*H126</f>
        <v>0</v>
      </c>
      <c r="S126" s="210">
        <v>0.24</v>
      </c>
      <c r="T126" s="211">
        <f>S126*H126</f>
        <v>67.2</v>
      </c>
      <c r="AR126" s="212" t="s">
        <v>263</v>
      </c>
      <c r="AT126" s="212" t="s">
        <v>560</v>
      </c>
      <c r="AU126" s="212" t="s">
        <v>260</v>
      </c>
      <c r="AY126" s="127" t="s">
        <v>558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27" t="s">
        <v>254</v>
      </c>
      <c r="BK126" s="213">
        <f>ROUND(I126*H126,2)</f>
        <v>0</v>
      </c>
      <c r="BL126" s="127" t="s">
        <v>263</v>
      </c>
      <c r="BM126" s="212" t="s">
        <v>603</v>
      </c>
    </row>
    <row r="127" spans="2:65" s="136" customFormat="1" ht="19.5" x14ac:dyDescent="0.25">
      <c r="B127" s="137"/>
      <c r="D127" s="219" t="s">
        <v>1196</v>
      </c>
      <c r="F127" s="351" t="s">
        <v>602</v>
      </c>
      <c r="I127" s="215"/>
      <c r="L127" s="137"/>
      <c r="M127" s="216"/>
      <c r="T127" s="146"/>
      <c r="AT127" s="127" t="s">
        <v>1196</v>
      </c>
      <c r="AU127" s="127" t="s">
        <v>260</v>
      </c>
    </row>
    <row r="128" spans="2:65" s="136" customFormat="1" x14ac:dyDescent="0.25">
      <c r="B128" s="137"/>
      <c r="D128" s="214" t="s">
        <v>565</v>
      </c>
      <c r="F128" s="288" t="s">
        <v>604</v>
      </c>
      <c r="I128" s="215"/>
      <c r="L128" s="137"/>
      <c r="M128" s="216"/>
      <c r="T128" s="146"/>
      <c r="AT128" s="127" t="s">
        <v>565</v>
      </c>
      <c r="AU128" s="127" t="s">
        <v>260</v>
      </c>
    </row>
    <row r="129" spans="2:65" s="217" customFormat="1" x14ac:dyDescent="0.25">
      <c r="B129" s="218"/>
      <c r="D129" s="219" t="s">
        <v>567</v>
      </c>
      <c r="E129" s="220" t="s">
        <v>180</v>
      </c>
      <c r="F129" s="221" t="s">
        <v>605</v>
      </c>
      <c r="H129" s="222">
        <v>280</v>
      </c>
      <c r="I129" s="223"/>
      <c r="L129" s="218"/>
      <c r="M129" s="224"/>
      <c r="T129" s="225"/>
      <c r="AT129" s="220" t="s">
        <v>567</v>
      </c>
      <c r="AU129" s="220" t="s">
        <v>260</v>
      </c>
      <c r="AV129" s="217" t="s">
        <v>260</v>
      </c>
      <c r="AW129" s="217" t="s">
        <v>506</v>
      </c>
      <c r="AX129" s="217" t="s">
        <v>254</v>
      </c>
      <c r="AY129" s="220" t="s">
        <v>558</v>
      </c>
    </row>
    <row r="130" spans="2:65" s="136" customFormat="1" ht="16.5" customHeight="1" x14ac:dyDescent="0.25">
      <c r="B130" s="137"/>
      <c r="C130" s="201" t="s">
        <v>268</v>
      </c>
      <c r="D130" s="201" t="s">
        <v>560</v>
      </c>
      <c r="E130" s="202" t="s">
        <v>606</v>
      </c>
      <c r="F130" s="203" t="s">
        <v>1204</v>
      </c>
      <c r="G130" s="204" t="s">
        <v>255</v>
      </c>
      <c r="H130" s="205">
        <v>280</v>
      </c>
      <c r="I130" s="206"/>
      <c r="J130" s="207">
        <f>ROUND(I130*H130,2)</f>
        <v>0</v>
      </c>
      <c r="K130" s="203" t="s">
        <v>563</v>
      </c>
      <c r="L130" s="137"/>
      <c r="M130" s="208" t="s">
        <v>180</v>
      </c>
      <c r="N130" s="209" t="s">
        <v>513</v>
      </c>
      <c r="P130" s="210">
        <f>O130*H130</f>
        <v>0</v>
      </c>
      <c r="Q130" s="210">
        <v>0</v>
      </c>
      <c r="R130" s="210">
        <f>Q130*H130</f>
        <v>0</v>
      </c>
      <c r="S130" s="210">
        <v>9.8000000000000004E-2</v>
      </c>
      <c r="T130" s="211">
        <f>S130*H130</f>
        <v>27.44</v>
      </c>
      <c r="AR130" s="212" t="s">
        <v>263</v>
      </c>
      <c r="AT130" s="212" t="s">
        <v>560</v>
      </c>
      <c r="AU130" s="212" t="s">
        <v>260</v>
      </c>
      <c r="AY130" s="127" t="s">
        <v>558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27" t="s">
        <v>254</v>
      </c>
      <c r="BK130" s="213">
        <f>ROUND(I130*H130,2)</f>
        <v>0</v>
      </c>
      <c r="BL130" s="127" t="s">
        <v>263</v>
      </c>
      <c r="BM130" s="212" t="s">
        <v>608</v>
      </c>
    </row>
    <row r="131" spans="2:65" s="136" customFormat="1" ht="19.5" x14ac:dyDescent="0.25">
      <c r="B131" s="137"/>
      <c r="D131" s="219" t="s">
        <v>1196</v>
      </c>
      <c r="F131" s="351" t="s">
        <v>607</v>
      </c>
      <c r="I131" s="215"/>
      <c r="L131" s="137"/>
      <c r="M131" s="216"/>
      <c r="T131" s="146"/>
      <c r="AT131" s="127" t="s">
        <v>1196</v>
      </c>
      <c r="AU131" s="127" t="s">
        <v>260</v>
      </c>
    </row>
    <row r="132" spans="2:65" s="136" customFormat="1" x14ac:dyDescent="0.25">
      <c r="B132" s="137"/>
      <c r="D132" s="214" t="s">
        <v>565</v>
      </c>
      <c r="F132" s="288" t="s">
        <v>609</v>
      </c>
      <c r="I132" s="215"/>
      <c r="L132" s="137"/>
      <c r="M132" s="216"/>
      <c r="T132" s="146"/>
      <c r="AT132" s="127" t="s">
        <v>565</v>
      </c>
      <c r="AU132" s="127" t="s">
        <v>260</v>
      </c>
    </row>
    <row r="133" spans="2:65" s="217" customFormat="1" x14ac:dyDescent="0.25">
      <c r="B133" s="218"/>
      <c r="D133" s="219" t="s">
        <v>567</v>
      </c>
      <c r="E133" s="220" t="s">
        <v>180</v>
      </c>
      <c r="F133" s="221" t="s">
        <v>610</v>
      </c>
      <c r="H133" s="222">
        <v>280</v>
      </c>
      <c r="I133" s="223"/>
      <c r="L133" s="218"/>
      <c r="M133" s="224"/>
      <c r="T133" s="225"/>
      <c r="AT133" s="220" t="s">
        <v>567</v>
      </c>
      <c r="AU133" s="220" t="s">
        <v>260</v>
      </c>
      <c r="AV133" s="217" t="s">
        <v>260</v>
      </c>
      <c r="AW133" s="217" t="s">
        <v>506</v>
      </c>
      <c r="AX133" s="217" t="s">
        <v>254</v>
      </c>
      <c r="AY133" s="220" t="s">
        <v>558</v>
      </c>
    </row>
    <row r="134" spans="2:65" s="136" customFormat="1" ht="16.5" customHeight="1" x14ac:dyDescent="0.25">
      <c r="B134" s="137"/>
      <c r="C134" s="201" t="s">
        <v>271</v>
      </c>
      <c r="D134" s="201" t="s">
        <v>560</v>
      </c>
      <c r="E134" s="202" t="s">
        <v>611</v>
      </c>
      <c r="F134" s="203" t="s">
        <v>1205</v>
      </c>
      <c r="G134" s="204" t="s">
        <v>255</v>
      </c>
      <c r="H134" s="205">
        <v>10</v>
      </c>
      <c r="I134" s="206"/>
      <c r="J134" s="207">
        <f>ROUND(I134*H134,2)</f>
        <v>0</v>
      </c>
      <c r="K134" s="203" t="s">
        <v>563</v>
      </c>
      <c r="L134" s="137"/>
      <c r="M134" s="208" t="s">
        <v>180</v>
      </c>
      <c r="N134" s="209" t="s">
        <v>513</v>
      </c>
      <c r="P134" s="210">
        <f>O134*H134</f>
        <v>0</v>
      </c>
      <c r="Q134" s="210">
        <v>0</v>
      </c>
      <c r="R134" s="210">
        <f>Q134*H134</f>
        <v>0</v>
      </c>
      <c r="S134" s="210">
        <v>0.57999999999999996</v>
      </c>
      <c r="T134" s="211">
        <f>S134*H134</f>
        <v>5.8</v>
      </c>
      <c r="AR134" s="212" t="s">
        <v>263</v>
      </c>
      <c r="AT134" s="212" t="s">
        <v>560</v>
      </c>
      <c r="AU134" s="212" t="s">
        <v>260</v>
      </c>
      <c r="AY134" s="127" t="s">
        <v>558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27" t="s">
        <v>254</v>
      </c>
      <c r="BK134" s="213">
        <f>ROUND(I134*H134,2)</f>
        <v>0</v>
      </c>
      <c r="BL134" s="127" t="s">
        <v>263</v>
      </c>
      <c r="BM134" s="212" t="s">
        <v>613</v>
      </c>
    </row>
    <row r="135" spans="2:65" s="136" customFormat="1" ht="19.5" x14ac:dyDescent="0.25">
      <c r="B135" s="137"/>
      <c r="D135" s="219" t="s">
        <v>1196</v>
      </c>
      <c r="F135" s="351" t="s">
        <v>612</v>
      </c>
      <c r="I135" s="215"/>
      <c r="L135" s="137"/>
      <c r="M135" s="216"/>
      <c r="T135" s="146"/>
      <c r="AT135" s="127" t="s">
        <v>1196</v>
      </c>
      <c r="AU135" s="127" t="s">
        <v>260</v>
      </c>
    </row>
    <row r="136" spans="2:65" s="136" customFormat="1" x14ac:dyDescent="0.25">
      <c r="B136" s="137"/>
      <c r="D136" s="214" t="s">
        <v>565</v>
      </c>
      <c r="F136" s="288" t="s">
        <v>614</v>
      </c>
      <c r="I136" s="215"/>
      <c r="L136" s="137"/>
      <c r="M136" s="216"/>
      <c r="T136" s="146"/>
      <c r="AT136" s="127" t="s">
        <v>565</v>
      </c>
      <c r="AU136" s="127" t="s">
        <v>260</v>
      </c>
    </row>
    <row r="137" spans="2:65" s="217" customFormat="1" x14ac:dyDescent="0.25">
      <c r="B137" s="218"/>
      <c r="D137" s="219" t="s">
        <v>567</v>
      </c>
      <c r="E137" s="220" t="s">
        <v>180</v>
      </c>
      <c r="F137" s="221" t="s">
        <v>615</v>
      </c>
      <c r="H137" s="222">
        <v>10</v>
      </c>
      <c r="I137" s="223"/>
      <c r="L137" s="218"/>
      <c r="M137" s="224"/>
      <c r="T137" s="225"/>
      <c r="AT137" s="220" t="s">
        <v>567</v>
      </c>
      <c r="AU137" s="220" t="s">
        <v>260</v>
      </c>
      <c r="AV137" s="217" t="s">
        <v>260</v>
      </c>
      <c r="AW137" s="217" t="s">
        <v>506</v>
      </c>
      <c r="AX137" s="217" t="s">
        <v>254</v>
      </c>
      <c r="AY137" s="220" t="s">
        <v>558</v>
      </c>
    </row>
    <row r="138" spans="2:65" s="136" customFormat="1" ht="21.75" customHeight="1" x14ac:dyDescent="0.25">
      <c r="B138" s="137"/>
      <c r="C138" s="201" t="s">
        <v>251</v>
      </c>
      <c r="D138" s="201" t="s">
        <v>560</v>
      </c>
      <c r="E138" s="202" t="s">
        <v>616</v>
      </c>
      <c r="F138" s="203" t="s">
        <v>1206</v>
      </c>
      <c r="G138" s="204" t="s">
        <v>255</v>
      </c>
      <c r="H138" s="205">
        <v>75</v>
      </c>
      <c r="I138" s="206"/>
      <c r="J138" s="207">
        <f>ROUND(I138*H138,2)</f>
        <v>0</v>
      </c>
      <c r="K138" s="203" t="s">
        <v>563</v>
      </c>
      <c r="L138" s="137"/>
      <c r="M138" s="208" t="s">
        <v>180</v>
      </c>
      <c r="N138" s="209" t="s">
        <v>513</v>
      </c>
      <c r="P138" s="210">
        <f>O138*H138</f>
        <v>0</v>
      </c>
      <c r="Q138" s="210">
        <v>9.0000000000000006E-5</v>
      </c>
      <c r="R138" s="210">
        <f>Q138*H138</f>
        <v>6.7500000000000008E-3</v>
      </c>
      <c r="S138" s="210">
        <v>0.23</v>
      </c>
      <c r="T138" s="211">
        <f>S138*H138</f>
        <v>17.25</v>
      </c>
      <c r="AR138" s="212" t="s">
        <v>263</v>
      </c>
      <c r="AT138" s="212" t="s">
        <v>560</v>
      </c>
      <c r="AU138" s="212" t="s">
        <v>260</v>
      </c>
      <c r="AY138" s="127" t="s">
        <v>558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27" t="s">
        <v>254</v>
      </c>
      <c r="BK138" s="213">
        <f>ROUND(I138*H138,2)</f>
        <v>0</v>
      </c>
      <c r="BL138" s="127" t="s">
        <v>263</v>
      </c>
      <c r="BM138" s="212" t="s">
        <v>618</v>
      </c>
    </row>
    <row r="139" spans="2:65" s="136" customFormat="1" ht="19.5" x14ac:dyDescent="0.25">
      <c r="B139" s="137"/>
      <c r="D139" s="219" t="s">
        <v>1196</v>
      </c>
      <c r="F139" s="351" t="s">
        <v>617</v>
      </c>
      <c r="I139" s="215"/>
      <c r="L139" s="137"/>
      <c r="M139" s="216"/>
      <c r="T139" s="146"/>
      <c r="AT139" s="127" t="s">
        <v>1196</v>
      </c>
      <c r="AU139" s="127" t="s">
        <v>260</v>
      </c>
    </row>
    <row r="140" spans="2:65" s="136" customFormat="1" x14ac:dyDescent="0.25">
      <c r="B140" s="137"/>
      <c r="D140" s="214" t="s">
        <v>565</v>
      </c>
      <c r="F140" s="288" t="s">
        <v>619</v>
      </c>
      <c r="I140" s="215"/>
      <c r="L140" s="137"/>
      <c r="M140" s="216"/>
      <c r="T140" s="146"/>
      <c r="AT140" s="127" t="s">
        <v>565</v>
      </c>
      <c r="AU140" s="127" t="s">
        <v>260</v>
      </c>
    </row>
    <row r="141" spans="2:65" s="217" customFormat="1" x14ac:dyDescent="0.25">
      <c r="B141" s="218"/>
      <c r="D141" s="219" t="s">
        <v>567</v>
      </c>
      <c r="E141" s="220" t="s">
        <v>180</v>
      </c>
      <c r="F141" s="221" t="s">
        <v>620</v>
      </c>
      <c r="H141" s="222">
        <v>75</v>
      </c>
      <c r="I141" s="223"/>
      <c r="L141" s="218"/>
      <c r="M141" s="224"/>
      <c r="T141" s="225"/>
      <c r="AT141" s="220" t="s">
        <v>567</v>
      </c>
      <c r="AU141" s="220" t="s">
        <v>260</v>
      </c>
      <c r="AV141" s="217" t="s">
        <v>260</v>
      </c>
      <c r="AW141" s="217" t="s">
        <v>506</v>
      </c>
      <c r="AX141" s="217" t="s">
        <v>254</v>
      </c>
      <c r="AY141" s="220" t="s">
        <v>558</v>
      </c>
    </row>
    <row r="142" spans="2:65" s="136" customFormat="1" ht="21.75" customHeight="1" x14ac:dyDescent="0.25">
      <c r="B142" s="137"/>
      <c r="C142" s="201" t="s">
        <v>273</v>
      </c>
      <c r="D142" s="201" t="s">
        <v>560</v>
      </c>
      <c r="E142" s="202" t="s">
        <v>621</v>
      </c>
      <c r="F142" s="203" t="s">
        <v>1207</v>
      </c>
      <c r="G142" s="204" t="s">
        <v>255</v>
      </c>
      <c r="H142" s="205">
        <v>590</v>
      </c>
      <c r="I142" s="206"/>
      <c r="J142" s="207">
        <f>ROUND(I142*H142,2)</f>
        <v>0</v>
      </c>
      <c r="K142" s="203" t="s">
        <v>563</v>
      </c>
      <c r="L142" s="137"/>
      <c r="M142" s="208" t="s">
        <v>180</v>
      </c>
      <c r="N142" s="209" t="s">
        <v>513</v>
      </c>
      <c r="P142" s="210">
        <f>O142*H142</f>
        <v>0</v>
      </c>
      <c r="Q142" s="210">
        <v>1.2999999999999999E-4</v>
      </c>
      <c r="R142" s="210">
        <f>Q142*H142</f>
        <v>7.669999999999999E-2</v>
      </c>
      <c r="S142" s="210">
        <v>0.23</v>
      </c>
      <c r="T142" s="211">
        <f>S142*H142</f>
        <v>135.70000000000002</v>
      </c>
      <c r="AR142" s="212" t="s">
        <v>263</v>
      </c>
      <c r="AT142" s="212" t="s">
        <v>560</v>
      </c>
      <c r="AU142" s="212" t="s">
        <v>260</v>
      </c>
      <c r="AY142" s="127" t="s">
        <v>558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27" t="s">
        <v>254</v>
      </c>
      <c r="BK142" s="213">
        <f>ROUND(I142*H142,2)</f>
        <v>0</v>
      </c>
      <c r="BL142" s="127" t="s">
        <v>263</v>
      </c>
      <c r="BM142" s="212" t="s">
        <v>623</v>
      </c>
    </row>
    <row r="143" spans="2:65" s="136" customFormat="1" ht="19.5" x14ac:dyDescent="0.25">
      <c r="B143" s="137"/>
      <c r="D143" s="219" t="s">
        <v>1196</v>
      </c>
      <c r="F143" s="351" t="s">
        <v>622</v>
      </c>
      <c r="I143" s="215"/>
      <c r="L143" s="137"/>
      <c r="M143" s="216"/>
      <c r="T143" s="146"/>
      <c r="AT143" s="127" t="s">
        <v>1196</v>
      </c>
      <c r="AU143" s="127" t="s">
        <v>260</v>
      </c>
    </row>
    <row r="144" spans="2:65" s="136" customFormat="1" x14ac:dyDescent="0.25">
      <c r="B144" s="137"/>
      <c r="D144" s="214" t="s">
        <v>565</v>
      </c>
      <c r="F144" s="288" t="s">
        <v>624</v>
      </c>
      <c r="I144" s="215"/>
      <c r="L144" s="137"/>
      <c r="M144" s="216"/>
      <c r="T144" s="146"/>
      <c r="AT144" s="127" t="s">
        <v>565</v>
      </c>
      <c r="AU144" s="127" t="s">
        <v>260</v>
      </c>
    </row>
    <row r="145" spans="2:65" s="217" customFormat="1" x14ac:dyDescent="0.25">
      <c r="B145" s="218"/>
      <c r="D145" s="219" t="s">
        <v>567</v>
      </c>
      <c r="E145" s="220" t="s">
        <v>180</v>
      </c>
      <c r="F145" s="221" t="s">
        <v>625</v>
      </c>
      <c r="H145" s="222">
        <v>590</v>
      </c>
      <c r="I145" s="223"/>
      <c r="L145" s="218"/>
      <c r="M145" s="224"/>
      <c r="T145" s="225"/>
      <c r="AT145" s="220" t="s">
        <v>567</v>
      </c>
      <c r="AU145" s="220" t="s">
        <v>260</v>
      </c>
      <c r="AV145" s="217" t="s">
        <v>260</v>
      </c>
      <c r="AW145" s="217" t="s">
        <v>506</v>
      </c>
      <c r="AX145" s="217" t="s">
        <v>254</v>
      </c>
      <c r="AY145" s="220" t="s">
        <v>558</v>
      </c>
    </row>
    <row r="146" spans="2:65" s="136" customFormat="1" ht="16.5" customHeight="1" x14ac:dyDescent="0.25">
      <c r="B146" s="137"/>
      <c r="C146" s="201" t="s">
        <v>274</v>
      </c>
      <c r="D146" s="201" t="s">
        <v>560</v>
      </c>
      <c r="E146" s="202" t="s">
        <v>626</v>
      </c>
      <c r="F146" s="203" t="s">
        <v>1208</v>
      </c>
      <c r="G146" s="204" t="s">
        <v>35</v>
      </c>
      <c r="H146" s="205">
        <v>230</v>
      </c>
      <c r="I146" s="206"/>
      <c r="J146" s="207">
        <f>ROUND(I146*H146,2)</f>
        <v>0</v>
      </c>
      <c r="K146" s="203" t="s">
        <v>563</v>
      </c>
      <c r="L146" s="137"/>
      <c r="M146" s="208" t="s">
        <v>180</v>
      </c>
      <c r="N146" s="209" t="s">
        <v>513</v>
      </c>
      <c r="P146" s="210">
        <f>O146*H146</f>
        <v>0</v>
      </c>
      <c r="Q146" s="210">
        <v>0</v>
      </c>
      <c r="R146" s="210">
        <f>Q146*H146</f>
        <v>0</v>
      </c>
      <c r="S146" s="210">
        <v>0.20499999999999999</v>
      </c>
      <c r="T146" s="211">
        <f>S146*H146</f>
        <v>47.15</v>
      </c>
      <c r="AR146" s="212" t="s">
        <v>263</v>
      </c>
      <c r="AT146" s="212" t="s">
        <v>560</v>
      </c>
      <c r="AU146" s="212" t="s">
        <v>260</v>
      </c>
      <c r="AY146" s="127" t="s">
        <v>558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27" t="s">
        <v>254</v>
      </c>
      <c r="BK146" s="213">
        <f>ROUND(I146*H146,2)</f>
        <v>0</v>
      </c>
      <c r="BL146" s="127" t="s">
        <v>263</v>
      </c>
      <c r="BM146" s="212" t="s">
        <v>628</v>
      </c>
    </row>
    <row r="147" spans="2:65" s="136" customFormat="1" ht="19.5" x14ac:dyDescent="0.25">
      <c r="B147" s="137"/>
      <c r="D147" s="219" t="s">
        <v>1196</v>
      </c>
      <c r="F147" s="351" t="s">
        <v>627</v>
      </c>
      <c r="I147" s="215"/>
      <c r="L147" s="137"/>
      <c r="M147" s="216"/>
      <c r="T147" s="146"/>
      <c r="AT147" s="127" t="s">
        <v>1196</v>
      </c>
      <c r="AU147" s="127" t="s">
        <v>260</v>
      </c>
    </row>
    <row r="148" spans="2:65" s="136" customFormat="1" x14ac:dyDescent="0.25">
      <c r="B148" s="137"/>
      <c r="D148" s="214" t="s">
        <v>565</v>
      </c>
      <c r="F148" s="288" t="s">
        <v>629</v>
      </c>
      <c r="I148" s="215"/>
      <c r="L148" s="137"/>
      <c r="M148" s="216"/>
      <c r="T148" s="146"/>
      <c r="AT148" s="127" t="s">
        <v>565</v>
      </c>
      <c r="AU148" s="127" t="s">
        <v>260</v>
      </c>
    </row>
    <row r="149" spans="2:65" s="217" customFormat="1" x14ac:dyDescent="0.25">
      <c r="B149" s="218"/>
      <c r="D149" s="219" t="s">
        <v>567</v>
      </c>
      <c r="E149" s="220" t="s">
        <v>180</v>
      </c>
      <c r="F149" s="221" t="s">
        <v>630</v>
      </c>
      <c r="H149" s="222">
        <v>230</v>
      </c>
      <c r="I149" s="223"/>
      <c r="L149" s="218"/>
      <c r="M149" s="224"/>
      <c r="T149" s="225"/>
      <c r="AT149" s="220" t="s">
        <v>567</v>
      </c>
      <c r="AU149" s="220" t="s">
        <v>260</v>
      </c>
      <c r="AV149" s="217" t="s">
        <v>260</v>
      </c>
      <c r="AW149" s="217" t="s">
        <v>506</v>
      </c>
      <c r="AX149" s="217" t="s">
        <v>254</v>
      </c>
      <c r="AY149" s="220" t="s">
        <v>558</v>
      </c>
    </row>
    <row r="150" spans="2:65" s="136" customFormat="1" ht="16.5" customHeight="1" x14ac:dyDescent="0.25">
      <c r="B150" s="137"/>
      <c r="C150" s="201" t="s">
        <v>275</v>
      </c>
      <c r="D150" s="201" t="s">
        <v>560</v>
      </c>
      <c r="E150" s="202" t="s">
        <v>631</v>
      </c>
      <c r="F150" s="203" t="s">
        <v>1209</v>
      </c>
      <c r="G150" s="204" t="s">
        <v>35</v>
      </c>
      <c r="H150" s="205">
        <v>93</v>
      </c>
      <c r="I150" s="206"/>
      <c r="J150" s="207">
        <f>ROUND(I150*H150,2)</f>
        <v>0</v>
      </c>
      <c r="K150" s="203" t="s">
        <v>563</v>
      </c>
      <c r="L150" s="137"/>
      <c r="M150" s="208" t="s">
        <v>180</v>
      </c>
      <c r="N150" s="209" t="s">
        <v>513</v>
      </c>
      <c r="P150" s="210">
        <f>O150*H150</f>
        <v>0</v>
      </c>
      <c r="Q150" s="210">
        <v>0</v>
      </c>
      <c r="R150" s="210">
        <f>Q150*H150</f>
        <v>0</v>
      </c>
      <c r="S150" s="210">
        <v>0.115</v>
      </c>
      <c r="T150" s="211">
        <f>S150*H150</f>
        <v>10.695</v>
      </c>
      <c r="AR150" s="212" t="s">
        <v>263</v>
      </c>
      <c r="AT150" s="212" t="s">
        <v>560</v>
      </c>
      <c r="AU150" s="212" t="s">
        <v>260</v>
      </c>
      <c r="AY150" s="127" t="s">
        <v>558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27" t="s">
        <v>254</v>
      </c>
      <c r="BK150" s="213">
        <f>ROUND(I150*H150,2)</f>
        <v>0</v>
      </c>
      <c r="BL150" s="127" t="s">
        <v>263</v>
      </c>
      <c r="BM150" s="212" t="s">
        <v>633</v>
      </c>
    </row>
    <row r="151" spans="2:65" s="136" customFormat="1" ht="19.5" x14ac:dyDescent="0.25">
      <c r="B151" s="137"/>
      <c r="D151" s="219" t="s">
        <v>1196</v>
      </c>
      <c r="F151" s="351" t="s">
        <v>632</v>
      </c>
      <c r="I151" s="215"/>
      <c r="L151" s="137"/>
      <c r="M151" s="216"/>
      <c r="T151" s="146"/>
      <c r="AT151" s="127" t="s">
        <v>1196</v>
      </c>
      <c r="AU151" s="127" t="s">
        <v>260</v>
      </c>
    </row>
    <row r="152" spans="2:65" s="136" customFormat="1" x14ac:dyDescent="0.25">
      <c r="B152" s="137"/>
      <c r="D152" s="214" t="s">
        <v>565</v>
      </c>
      <c r="F152" s="288" t="s">
        <v>634</v>
      </c>
      <c r="I152" s="215"/>
      <c r="L152" s="137"/>
      <c r="M152" s="216"/>
      <c r="T152" s="146"/>
      <c r="AT152" s="127" t="s">
        <v>565</v>
      </c>
      <c r="AU152" s="127" t="s">
        <v>260</v>
      </c>
    </row>
    <row r="153" spans="2:65" s="217" customFormat="1" x14ac:dyDescent="0.25">
      <c r="B153" s="218"/>
      <c r="D153" s="219" t="s">
        <v>567</v>
      </c>
      <c r="E153" s="220" t="s">
        <v>180</v>
      </c>
      <c r="F153" s="221" t="s">
        <v>635</v>
      </c>
      <c r="H153" s="222">
        <v>93</v>
      </c>
      <c r="I153" s="223"/>
      <c r="L153" s="218"/>
      <c r="M153" s="224"/>
      <c r="T153" s="225"/>
      <c r="AT153" s="220" t="s">
        <v>567</v>
      </c>
      <c r="AU153" s="220" t="s">
        <v>260</v>
      </c>
      <c r="AV153" s="217" t="s">
        <v>260</v>
      </c>
      <c r="AW153" s="217" t="s">
        <v>506</v>
      </c>
      <c r="AX153" s="217" t="s">
        <v>254</v>
      </c>
      <c r="AY153" s="220" t="s">
        <v>558</v>
      </c>
    </row>
    <row r="154" spans="2:65" s="136" customFormat="1" ht="21.75" customHeight="1" x14ac:dyDescent="0.25">
      <c r="B154" s="137"/>
      <c r="C154" s="201" t="s">
        <v>276</v>
      </c>
      <c r="D154" s="201" t="s">
        <v>560</v>
      </c>
      <c r="E154" s="202" t="s">
        <v>636</v>
      </c>
      <c r="F154" s="203" t="s">
        <v>1210</v>
      </c>
      <c r="G154" s="204" t="s">
        <v>291</v>
      </c>
      <c r="H154" s="205">
        <v>196.9</v>
      </c>
      <c r="I154" s="206"/>
      <c r="J154" s="207">
        <f>ROUND(I154*H154,2)</f>
        <v>0</v>
      </c>
      <c r="K154" s="203" t="s">
        <v>563</v>
      </c>
      <c r="L154" s="137"/>
      <c r="M154" s="208" t="s">
        <v>180</v>
      </c>
      <c r="N154" s="209" t="s">
        <v>513</v>
      </c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212" t="s">
        <v>263</v>
      </c>
      <c r="AT154" s="212" t="s">
        <v>560</v>
      </c>
      <c r="AU154" s="212" t="s">
        <v>260</v>
      </c>
      <c r="AY154" s="127" t="s">
        <v>558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27" t="s">
        <v>254</v>
      </c>
      <c r="BK154" s="213">
        <f>ROUND(I154*H154,2)</f>
        <v>0</v>
      </c>
      <c r="BL154" s="127" t="s">
        <v>263</v>
      </c>
      <c r="BM154" s="212" t="s">
        <v>638</v>
      </c>
    </row>
    <row r="155" spans="2:65" s="136" customFormat="1" x14ac:dyDescent="0.25">
      <c r="B155" s="137"/>
      <c r="D155" s="219" t="s">
        <v>1196</v>
      </c>
      <c r="F155" s="351" t="s">
        <v>637</v>
      </c>
      <c r="I155" s="215"/>
      <c r="L155" s="137"/>
      <c r="M155" s="216"/>
      <c r="T155" s="146"/>
      <c r="AT155" s="127" t="s">
        <v>1196</v>
      </c>
      <c r="AU155" s="127" t="s">
        <v>260</v>
      </c>
    </row>
    <row r="156" spans="2:65" s="136" customFormat="1" x14ac:dyDescent="0.25">
      <c r="B156" s="137"/>
      <c r="D156" s="214" t="s">
        <v>565</v>
      </c>
      <c r="F156" s="288" t="s">
        <v>639</v>
      </c>
      <c r="I156" s="215"/>
      <c r="L156" s="137"/>
      <c r="M156" s="216"/>
      <c r="T156" s="146"/>
      <c r="AT156" s="127" t="s">
        <v>565</v>
      </c>
      <c r="AU156" s="127" t="s">
        <v>260</v>
      </c>
    </row>
    <row r="157" spans="2:65" s="217" customFormat="1" x14ac:dyDescent="0.25">
      <c r="B157" s="218"/>
      <c r="D157" s="219" t="s">
        <v>567</v>
      </c>
      <c r="E157" s="220" t="s">
        <v>180</v>
      </c>
      <c r="F157" s="221" t="s">
        <v>640</v>
      </c>
      <c r="H157" s="222">
        <v>194.1</v>
      </c>
      <c r="I157" s="223"/>
      <c r="L157" s="218"/>
      <c r="M157" s="224"/>
      <c r="T157" s="225"/>
      <c r="AT157" s="220" t="s">
        <v>567</v>
      </c>
      <c r="AU157" s="220" t="s">
        <v>260</v>
      </c>
      <c r="AV157" s="217" t="s">
        <v>260</v>
      </c>
      <c r="AW157" s="217" t="s">
        <v>506</v>
      </c>
      <c r="AX157" s="217" t="s">
        <v>295</v>
      </c>
      <c r="AY157" s="220" t="s">
        <v>558</v>
      </c>
    </row>
    <row r="158" spans="2:65" s="217" customFormat="1" x14ac:dyDescent="0.25">
      <c r="B158" s="218"/>
      <c r="D158" s="219" t="s">
        <v>567</v>
      </c>
      <c r="E158" s="220" t="s">
        <v>180</v>
      </c>
      <c r="F158" s="221" t="s">
        <v>641</v>
      </c>
      <c r="H158" s="222">
        <v>2.8</v>
      </c>
      <c r="I158" s="223"/>
      <c r="L158" s="218"/>
      <c r="M158" s="224"/>
      <c r="T158" s="225"/>
      <c r="AT158" s="220" t="s">
        <v>567</v>
      </c>
      <c r="AU158" s="220" t="s">
        <v>260</v>
      </c>
      <c r="AV158" s="217" t="s">
        <v>260</v>
      </c>
      <c r="AW158" s="217" t="s">
        <v>506</v>
      </c>
      <c r="AX158" s="217" t="s">
        <v>295</v>
      </c>
      <c r="AY158" s="220" t="s">
        <v>558</v>
      </c>
    </row>
    <row r="159" spans="2:65" s="226" customFormat="1" x14ac:dyDescent="0.25">
      <c r="B159" s="227"/>
      <c r="D159" s="219" t="s">
        <v>567</v>
      </c>
      <c r="E159" s="228" t="s">
        <v>180</v>
      </c>
      <c r="F159" s="229" t="s">
        <v>595</v>
      </c>
      <c r="H159" s="230">
        <v>196.9</v>
      </c>
      <c r="I159" s="231"/>
      <c r="L159" s="227"/>
      <c r="M159" s="232"/>
      <c r="T159" s="233"/>
      <c r="AT159" s="228" t="s">
        <v>567</v>
      </c>
      <c r="AU159" s="228" t="s">
        <v>260</v>
      </c>
      <c r="AV159" s="226" t="s">
        <v>263</v>
      </c>
      <c r="AW159" s="226" t="s">
        <v>506</v>
      </c>
      <c r="AX159" s="226" t="s">
        <v>254</v>
      </c>
      <c r="AY159" s="228" t="s">
        <v>558</v>
      </c>
    </row>
    <row r="160" spans="2:65" s="136" customFormat="1" ht="16.5" customHeight="1" x14ac:dyDescent="0.25">
      <c r="B160" s="137"/>
      <c r="C160" s="201" t="s">
        <v>269</v>
      </c>
      <c r="D160" s="201" t="s">
        <v>560</v>
      </c>
      <c r="E160" s="202" t="s">
        <v>642</v>
      </c>
      <c r="F160" s="203" t="s">
        <v>1211</v>
      </c>
      <c r="G160" s="204" t="s">
        <v>291</v>
      </c>
      <c r="H160" s="205">
        <v>8.1</v>
      </c>
      <c r="I160" s="206"/>
      <c r="J160" s="207">
        <f>ROUND(I160*H160,2)</f>
        <v>0</v>
      </c>
      <c r="K160" s="203" t="s">
        <v>563</v>
      </c>
      <c r="L160" s="137"/>
      <c r="M160" s="208" t="s">
        <v>180</v>
      </c>
      <c r="N160" s="209" t="s">
        <v>513</v>
      </c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212" t="s">
        <v>263</v>
      </c>
      <c r="AT160" s="212" t="s">
        <v>560</v>
      </c>
      <c r="AU160" s="212" t="s">
        <v>260</v>
      </c>
      <c r="AY160" s="127" t="s">
        <v>558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27" t="s">
        <v>254</v>
      </c>
      <c r="BK160" s="213">
        <f>ROUND(I160*H160,2)</f>
        <v>0</v>
      </c>
      <c r="BL160" s="127" t="s">
        <v>263</v>
      </c>
      <c r="BM160" s="212" t="s">
        <v>644</v>
      </c>
    </row>
    <row r="161" spans="2:65" s="136" customFormat="1" ht="19.5" x14ac:dyDescent="0.25">
      <c r="B161" s="137"/>
      <c r="D161" s="219" t="s">
        <v>1196</v>
      </c>
      <c r="F161" s="351" t="s">
        <v>643</v>
      </c>
      <c r="I161" s="215"/>
      <c r="L161" s="137"/>
      <c r="M161" s="216"/>
      <c r="T161" s="146"/>
      <c r="AT161" s="127" t="s">
        <v>1196</v>
      </c>
      <c r="AU161" s="127" t="s">
        <v>260</v>
      </c>
    </row>
    <row r="162" spans="2:65" s="136" customFormat="1" x14ac:dyDescent="0.25">
      <c r="B162" s="137"/>
      <c r="D162" s="214" t="s">
        <v>565</v>
      </c>
      <c r="F162" s="288" t="s">
        <v>645</v>
      </c>
      <c r="I162" s="215"/>
      <c r="L162" s="137"/>
      <c r="M162" s="216"/>
      <c r="T162" s="146"/>
      <c r="AT162" s="127" t="s">
        <v>565</v>
      </c>
      <c r="AU162" s="127" t="s">
        <v>260</v>
      </c>
    </row>
    <row r="163" spans="2:65" s="217" customFormat="1" x14ac:dyDescent="0.25">
      <c r="B163" s="218"/>
      <c r="D163" s="219" t="s">
        <v>567</v>
      </c>
      <c r="E163" s="220" t="s">
        <v>180</v>
      </c>
      <c r="F163" s="221" t="s">
        <v>646</v>
      </c>
      <c r="H163" s="222">
        <v>8.1</v>
      </c>
      <c r="I163" s="223"/>
      <c r="L163" s="218"/>
      <c r="M163" s="224"/>
      <c r="T163" s="225"/>
      <c r="AT163" s="220" t="s">
        <v>567</v>
      </c>
      <c r="AU163" s="220" t="s">
        <v>260</v>
      </c>
      <c r="AV163" s="217" t="s">
        <v>260</v>
      </c>
      <c r="AW163" s="217" t="s">
        <v>506</v>
      </c>
      <c r="AX163" s="217" t="s">
        <v>254</v>
      </c>
      <c r="AY163" s="220" t="s">
        <v>558</v>
      </c>
    </row>
    <row r="164" spans="2:65" s="136" customFormat="1" ht="21.75" customHeight="1" x14ac:dyDescent="0.25">
      <c r="B164" s="137"/>
      <c r="C164" s="201" t="s">
        <v>277</v>
      </c>
      <c r="D164" s="201" t="s">
        <v>560</v>
      </c>
      <c r="E164" s="202" t="s">
        <v>647</v>
      </c>
      <c r="F164" s="203" t="s">
        <v>1212</v>
      </c>
      <c r="G164" s="204" t="s">
        <v>291</v>
      </c>
      <c r="H164" s="205">
        <v>14.4</v>
      </c>
      <c r="I164" s="206"/>
      <c r="J164" s="207">
        <f>ROUND(I164*H164,2)</f>
        <v>0</v>
      </c>
      <c r="K164" s="203" t="s">
        <v>563</v>
      </c>
      <c r="L164" s="137"/>
      <c r="M164" s="208" t="s">
        <v>180</v>
      </c>
      <c r="N164" s="209" t="s">
        <v>513</v>
      </c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AR164" s="212" t="s">
        <v>263</v>
      </c>
      <c r="AT164" s="212" t="s">
        <v>560</v>
      </c>
      <c r="AU164" s="212" t="s">
        <v>260</v>
      </c>
      <c r="AY164" s="127" t="s">
        <v>558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27" t="s">
        <v>254</v>
      </c>
      <c r="BK164" s="213">
        <f>ROUND(I164*H164,2)</f>
        <v>0</v>
      </c>
      <c r="BL164" s="127" t="s">
        <v>263</v>
      </c>
      <c r="BM164" s="212" t="s">
        <v>649</v>
      </c>
    </row>
    <row r="165" spans="2:65" s="136" customFormat="1" ht="19.5" x14ac:dyDescent="0.25">
      <c r="B165" s="137"/>
      <c r="D165" s="219" t="s">
        <v>1196</v>
      </c>
      <c r="F165" s="351" t="s">
        <v>648</v>
      </c>
      <c r="I165" s="215"/>
      <c r="L165" s="137"/>
      <c r="M165" s="216"/>
      <c r="T165" s="146"/>
      <c r="AT165" s="127" t="s">
        <v>1196</v>
      </c>
      <c r="AU165" s="127" t="s">
        <v>260</v>
      </c>
    </row>
    <row r="166" spans="2:65" s="136" customFormat="1" x14ac:dyDescent="0.25">
      <c r="B166" s="137"/>
      <c r="D166" s="214" t="s">
        <v>565</v>
      </c>
      <c r="F166" s="288" t="s">
        <v>650</v>
      </c>
      <c r="I166" s="215"/>
      <c r="L166" s="137"/>
      <c r="M166" s="216"/>
      <c r="T166" s="146"/>
      <c r="AT166" s="127" t="s">
        <v>565</v>
      </c>
      <c r="AU166" s="127" t="s">
        <v>260</v>
      </c>
    </row>
    <row r="167" spans="2:65" s="217" customFormat="1" x14ac:dyDescent="0.25">
      <c r="B167" s="218"/>
      <c r="D167" s="219" t="s">
        <v>567</v>
      </c>
      <c r="E167" s="220" t="s">
        <v>180</v>
      </c>
      <c r="F167" s="221" t="s">
        <v>651</v>
      </c>
      <c r="H167" s="222">
        <v>14.4</v>
      </c>
      <c r="I167" s="223"/>
      <c r="L167" s="218"/>
      <c r="M167" s="224"/>
      <c r="T167" s="225"/>
      <c r="AT167" s="220" t="s">
        <v>567</v>
      </c>
      <c r="AU167" s="220" t="s">
        <v>260</v>
      </c>
      <c r="AV167" s="217" t="s">
        <v>260</v>
      </c>
      <c r="AW167" s="217" t="s">
        <v>506</v>
      </c>
      <c r="AX167" s="217" t="s">
        <v>254</v>
      </c>
      <c r="AY167" s="220" t="s">
        <v>558</v>
      </c>
    </row>
    <row r="168" spans="2:65" s="136" customFormat="1" ht="21.75" customHeight="1" x14ac:dyDescent="0.25">
      <c r="B168" s="137"/>
      <c r="C168" s="201" t="s">
        <v>279</v>
      </c>
      <c r="D168" s="201" t="s">
        <v>560</v>
      </c>
      <c r="E168" s="202" t="s">
        <v>652</v>
      </c>
      <c r="F168" s="203" t="s">
        <v>1213</v>
      </c>
      <c r="G168" s="204" t="s">
        <v>291</v>
      </c>
      <c r="H168" s="205">
        <v>219.4</v>
      </c>
      <c r="I168" s="206"/>
      <c r="J168" s="207">
        <f>ROUND(I168*H168,2)</f>
        <v>0</v>
      </c>
      <c r="K168" s="203" t="s">
        <v>563</v>
      </c>
      <c r="L168" s="137"/>
      <c r="M168" s="208" t="s">
        <v>180</v>
      </c>
      <c r="N168" s="209" t="s">
        <v>513</v>
      </c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212" t="s">
        <v>263</v>
      </c>
      <c r="AT168" s="212" t="s">
        <v>560</v>
      </c>
      <c r="AU168" s="212" t="s">
        <v>260</v>
      </c>
      <c r="AY168" s="127" t="s">
        <v>558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27" t="s">
        <v>254</v>
      </c>
      <c r="BK168" s="213">
        <f>ROUND(I168*H168,2)</f>
        <v>0</v>
      </c>
      <c r="BL168" s="127" t="s">
        <v>263</v>
      </c>
      <c r="BM168" s="212" t="s">
        <v>654</v>
      </c>
    </row>
    <row r="169" spans="2:65" s="136" customFormat="1" ht="19.5" x14ac:dyDescent="0.25">
      <c r="B169" s="137"/>
      <c r="D169" s="219" t="s">
        <v>1196</v>
      </c>
      <c r="F169" s="351" t="s">
        <v>653</v>
      </c>
      <c r="I169" s="215"/>
      <c r="L169" s="137"/>
      <c r="M169" s="216"/>
      <c r="T169" s="146"/>
      <c r="AT169" s="127" t="s">
        <v>1196</v>
      </c>
      <c r="AU169" s="127" t="s">
        <v>260</v>
      </c>
    </row>
    <row r="170" spans="2:65" s="136" customFormat="1" x14ac:dyDescent="0.25">
      <c r="B170" s="137"/>
      <c r="D170" s="214" t="s">
        <v>565</v>
      </c>
      <c r="F170" s="288" t="s">
        <v>655</v>
      </c>
      <c r="I170" s="215"/>
      <c r="L170" s="137"/>
      <c r="M170" s="216"/>
      <c r="T170" s="146"/>
      <c r="AT170" s="127" t="s">
        <v>565</v>
      </c>
      <c r="AU170" s="127" t="s">
        <v>260</v>
      </c>
    </row>
    <row r="171" spans="2:65" s="234" customFormat="1" x14ac:dyDescent="0.25">
      <c r="B171" s="235"/>
      <c r="D171" s="219" t="s">
        <v>567</v>
      </c>
      <c r="E171" s="236" t="s">
        <v>180</v>
      </c>
      <c r="F171" s="237" t="s">
        <v>656</v>
      </c>
      <c r="H171" s="236" t="s">
        <v>180</v>
      </c>
      <c r="I171" s="238"/>
      <c r="L171" s="235"/>
      <c r="M171" s="239"/>
      <c r="T171" s="240"/>
      <c r="AT171" s="236" t="s">
        <v>567</v>
      </c>
      <c r="AU171" s="236" t="s">
        <v>260</v>
      </c>
      <c r="AV171" s="234" t="s">
        <v>254</v>
      </c>
      <c r="AW171" s="234" t="s">
        <v>506</v>
      </c>
      <c r="AX171" s="234" t="s">
        <v>295</v>
      </c>
      <c r="AY171" s="236" t="s">
        <v>558</v>
      </c>
    </row>
    <row r="172" spans="2:65" s="217" customFormat="1" x14ac:dyDescent="0.25">
      <c r="B172" s="218"/>
      <c r="D172" s="219" t="s">
        <v>567</v>
      </c>
      <c r="E172" s="220" t="s">
        <v>180</v>
      </c>
      <c r="F172" s="221" t="s">
        <v>657</v>
      </c>
      <c r="H172" s="222">
        <v>219.4</v>
      </c>
      <c r="I172" s="223"/>
      <c r="L172" s="218"/>
      <c r="M172" s="224"/>
      <c r="T172" s="225"/>
      <c r="AT172" s="220" t="s">
        <v>567</v>
      </c>
      <c r="AU172" s="220" t="s">
        <v>260</v>
      </c>
      <c r="AV172" s="217" t="s">
        <v>260</v>
      </c>
      <c r="AW172" s="217" t="s">
        <v>506</v>
      </c>
      <c r="AX172" s="217" t="s">
        <v>254</v>
      </c>
      <c r="AY172" s="220" t="s">
        <v>558</v>
      </c>
    </row>
    <row r="173" spans="2:65" s="136" customFormat="1" ht="24.2" customHeight="1" x14ac:dyDescent="0.25">
      <c r="B173" s="137"/>
      <c r="C173" s="201" t="s">
        <v>280</v>
      </c>
      <c r="D173" s="201" t="s">
        <v>560</v>
      </c>
      <c r="E173" s="202" t="s">
        <v>658</v>
      </c>
      <c r="F173" s="203" t="s">
        <v>1214</v>
      </c>
      <c r="G173" s="204" t="s">
        <v>291</v>
      </c>
      <c r="H173" s="205">
        <v>3291</v>
      </c>
      <c r="I173" s="206"/>
      <c r="J173" s="207">
        <f>ROUND(I173*H173,2)</f>
        <v>0</v>
      </c>
      <c r="K173" s="203" t="s">
        <v>563</v>
      </c>
      <c r="L173" s="137"/>
      <c r="M173" s="208" t="s">
        <v>180</v>
      </c>
      <c r="N173" s="209" t="s">
        <v>513</v>
      </c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AR173" s="212" t="s">
        <v>263</v>
      </c>
      <c r="AT173" s="212" t="s">
        <v>560</v>
      </c>
      <c r="AU173" s="212" t="s">
        <v>260</v>
      </c>
      <c r="AY173" s="127" t="s">
        <v>558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27" t="s">
        <v>254</v>
      </c>
      <c r="BK173" s="213">
        <f>ROUND(I173*H173,2)</f>
        <v>0</v>
      </c>
      <c r="BL173" s="127" t="s">
        <v>263</v>
      </c>
      <c r="BM173" s="212" t="s">
        <v>660</v>
      </c>
    </row>
    <row r="174" spans="2:65" s="136" customFormat="1" ht="19.5" x14ac:dyDescent="0.25">
      <c r="B174" s="137"/>
      <c r="D174" s="219" t="s">
        <v>1196</v>
      </c>
      <c r="F174" s="351" t="s">
        <v>659</v>
      </c>
      <c r="I174" s="215"/>
      <c r="L174" s="137"/>
      <c r="M174" s="216"/>
      <c r="T174" s="146"/>
      <c r="AT174" s="127" t="s">
        <v>1196</v>
      </c>
      <c r="AU174" s="127" t="s">
        <v>260</v>
      </c>
    </row>
    <row r="175" spans="2:65" s="136" customFormat="1" x14ac:dyDescent="0.25">
      <c r="B175" s="137"/>
      <c r="D175" s="214" t="s">
        <v>565</v>
      </c>
      <c r="F175" s="288" t="s">
        <v>661</v>
      </c>
      <c r="I175" s="215"/>
      <c r="L175" s="137"/>
      <c r="M175" s="216"/>
      <c r="T175" s="146"/>
      <c r="AT175" s="127" t="s">
        <v>565</v>
      </c>
      <c r="AU175" s="127" t="s">
        <v>260</v>
      </c>
    </row>
    <row r="176" spans="2:65" s="234" customFormat="1" x14ac:dyDescent="0.25">
      <c r="B176" s="235"/>
      <c r="D176" s="219" t="s">
        <v>567</v>
      </c>
      <c r="E176" s="236" t="s">
        <v>180</v>
      </c>
      <c r="F176" s="237" t="s">
        <v>656</v>
      </c>
      <c r="H176" s="236" t="s">
        <v>180</v>
      </c>
      <c r="I176" s="238"/>
      <c r="L176" s="235"/>
      <c r="M176" s="239"/>
      <c r="T176" s="240"/>
      <c r="AT176" s="236" t="s">
        <v>567</v>
      </c>
      <c r="AU176" s="236" t="s">
        <v>260</v>
      </c>
      <c r="AV176" s="234" t="s">
        <v>254</v>
      </c>
      <c r="AW176" s="234" t="s">
        <v>506</v>
      </c>
      <c r="AX176" s="234" t="s">
        <v>295</v>
      </c>
      <c r="AY176" s="236" t="s">
        <v>558</v>
      </c>
    </row>
    <row r="177" spans="2:65" s="217" customFormat="1" x14ac:dyDescent="0.25">
      <c r="B177" s="218"/>
      <c r="D177" s="219" t="s">
        <v>567</v>
      </c>
      <c r="E177" s="220" t="s">
        <v>180</v>
      </c>
      <c r="F177" s="221" t="s">
        <v>662</v>
      </c>
      <c r="H177" s="222">
        <v>3291</v>
      </c>
      <c r="I177" s="223"/>
      <c r="L177" s="218"/>
      <c r="M177" s="224"/>
      <c r="T177" s="225"/>
      <c r="AT177" s="220" t="s">
        <v>567</v>
      </c>
      <c r="AU177" s="220" t="s">
        <v>260</v>
      </c>
      <c r="AV177" s="217" t="s">
        <v>260</v>
      </c>
      <c r="AW177" s="217" t="s">
        <v>506</v>
      </c>
      <c r="AX177" s="217" t="s">
        <v>254</v>
      </c>
      <c r="AY177" s="220" t="s">
        <v>558</v>
      </c>
    </row>
    <row r="178" spans="2:65" s="136" customFormat="1" ht="16.5" customHeight="1" x14ac:dyDescent="0.25">
      <c r="B178" s="137"/>
      <c r="C178" s="201" t="s">
        <v>283</v>
      </c>
      <c r="D178" s="201" t="s">
        <v>560</v>
      </c>
      <c r="E178" s="202" t="s">
        <v>663</v>
      </c>
      <c r="F178" s="203" t="s">
        <v>1215</v>
      </c>
      <c r="G178" s="204" t="s">
        <v>43</v>
      </c>
      <c r="H178" s="205">
        <v>394.92</v>
      </c>
      <c r="I178" s="206"/>
      <c r="J178" s="207">
        <f>ROUND(I178*H178,2)</f>
        <v>0</v>
      </c>
      <c r="K178" s="203" t="s">
        <v>563</v>
      </c>
      <c r="L178" s="137"/>
      <c r="M178" s="208" t="s">
        <v>180</v>
      </c>
      <c r="N178" s="209" t="s">
        <v>513</v>
      </c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212" t="s">
        <v>263</v>
      </c>
      <c r="AT178" s="212" t="s">
        <v>560</v>
      </c>
      <c r="AU178" s="212" t="s">
        <v>260</v>
      </c>
      <c r="AY178" s="127" t="s">
        <v>558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27" t="s">
        <v>254</v>
      </c>
      <c r="BK178" s="213">
        <f>ROUND(I178*H178,2)</f>
        <v>0</v>
      </c>
      <c r="BL178" s="127" t="s">
        <v>263</v>
      </c>
      <c r="BM178" s="212" t="s">
        <v>665</v>
      </c>
    </row>
    <row r="179" spans="2:65" s="136" customFormat="1" ht="19.5" x14ac:dyDescent="0.25">
      <c r="B179" s="137"/>
      <c r="D179" s="219" t="s">
        <v>1196</v>
      </c>
      <c r="F179" s="351" t="s">
        <v>664</v>
      </c>
      <c r="I179" s="215"/>
      <c r="L179" s="137"/>
      <c r="M179" s="216"/>
      <c r="T179" s="146"/>
      <c r="AT179" s="127" t="s">
        <v>1196</v>
      </c>
      <c r="AU179" s="127" t="s">
        <v>260</v>
      </c>
    </row>
    <row r="180" spans="2:65" s="136" customFormat="1" x14ac:dyDescent="0.25">
      <c r="B180" s="137"/>
      <c r="D180" s="214" t="s">
        <v>565</v>
      </c>
      <c r="F180" s="288" t="s">
        <v>666</v>
      </c>
      <c r="I180" s="215"/>
      <c r="L180" s="137"/>
      <c r="M180" s="216"/>
      <c r="T180" s="146"/>
      <c r="AT180" s="127" t="s">
        <v>565</v>
      </c>
      <c r="AU180" s="127" t="s">
        <v>260</v>
      </c>
    </row>
    <row r="181" spans="2:65" s="217" customFormat="1" x14ac:dyDescent="0.25">
      <c r="B181" s="218"/>
      <c r="D181" s="219" t="s">
        <v>567</v>
      </c>
      <c r="E181" s="220" t="s">
        <v>180</v>
      </c>
      <c r="F181" s="221" t="s">
        <v>667</v>
      </c>
      <c r="H181" s="222">
        <v>394.92</v>
      </c>
      <c r="I181" s="223"/>
      <c r="L181" s="218"/>
      <c r="M181" s="224"/>
      <c r="T181" s="225"/>
      <c r="AT181" s="220" t="s">
        <v>567</v>
      </c>
      <c r="AU181" s="220" t="s">
        <v>260</v>
      </c>
      <c r="AV181" s="217" t="s">
        <v>260</v>
      </c>
      <c r="AW181" s="217" t="s">
        <v>506</v>
      </c>
      <c r="AX181" s="217" t="s">
        <v>254</v>
      </c>
      <c r="AY181" s="220" t="s">
        <v>558</v>
      </c>
    </row>
    <row r="182" spans="2:65" s="136" customFormat="1" ht="16.5" customHeight="1" x14ac:dyDescent="0.25">
      <c r="B182" s="137"/>
      <c r="C182" s="201" t="s">
        <v>290</v>
      </c>
      <c r="D182" s="201" t="s">
        <v>560</v>
      </c>
      <c r="E182" s="202" t="s">
        <v>668</v>
      </c>
      <c r="F182" s="203" t="s">
        <v>1216</v>
      </c>
      <c r="G182" s="204" t="s">
        <v>291</v>
      </c>
      <c r="H182" s="205">
        <v>219.4</v>
      </c>
      <c r="I182" s="206"/>
      <c r="J182" s="207">
        <f>ROUND(I182*H182,2)</f>
        <v>0</v>
      </c>
      <c r="K182" s="203" t="s">
        <v>563</v>
      </c>
      <c r="L182" s="137"/>
      <c r="M182" s="208" t="s">
        <v>180</v>
      </c>
      <c r="N182" s="209" t="s">
        <v>513</v>
      </c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AR182" s="212" t="s">
        <v>263</v>
      </c>
      <c r="AT182" s="212" t="s">
        <v>560</v>
      </c>
      <c r="AU182" s="212" t="s">
        <v>260</v>
      </c>
      <c r="AY182" s="127" t="s">
        <v>558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27" t="s">
        <v>254</v>
      </c>
      <c r="BK182" s="213">
        <f>ROUND(I182*H182,2)</f>
        <v>0</v>
      </c>
      <c r="BL182" s="127" t="s">
        <v>263</v>
      </c>
      <c r="BM182" s="212" t="s">
        <v>670</v>
      </c>
    </row>
    <row r="183" spans="2:65" s="136" customFormat="1" x14ac:dyDescent="0.25">
      <c r="B183" s="137"/>
      <c r="D183" s="219" t="s">
        <v>1196</v>
      </c>
      <c r="F183" s="351" t="s">
        <v>669</v>
      </c>
      <c r="I183" s="215"/>
      <c r="L183" s="137"/>
      <c r="M183" s="216"/>
      <c r="T183" s="146"/>
      <c r="AT183" s="127" t="s">
        <v>1196</v>
      </c>
      <c r="AU183" s="127" t="s">
        <v>260</v>
      </c>
    </row>
    <row r="184" spans="2:65" s="136" customFormat="1" x14ac:dyDescent="0.25">
      <c r="B184" s="137"/>
      <c r="D184" s="214" t="s">
        <v>565</v>
      </c>
      <c r="F184" s="288" t="s">
        <v>671</v>
      </c>
      <c r="I184" s="215"/>
      <c r="L184" s="137"/>
      <c r="M184" s="216"/>
      <c r="T184" s="146"/>
      <c r="AT184" s="127" t="s">
        <v>565</v>
      </c>
      <c r="AU184" s="127" t="s">
        <v>260</v>
      </c>
    </row>
    <row r="185" spans="2:65" s="217" customFormat="1" x14ac:dyDescent="0.25">
      <c r="B185" s="218"/>
      <c r="D185" s="219" t="s">
        <v>567</v>
      </c>
      <c r="E185" s="220" t="s">
        <v>180</v>
      </c>
      <c r="F185" s="221" t="s">
        <v>672</v>
      </c>
      <c r="H185" s="222">
        <v>219.4</v>
      </c>
      <c r="I185" s="223"/>
      <c r="L185" s="218"/>
      <c r="M185" s="224"/>
      <c r="T185" s="225"/>
      <c r="AT185" s="220" t="s">
        <v>567</v>
      </c>
      <c r="AU185" s="220" t="s">
        <v>260</v>
      </c>
      <c r="AV185" s="217" t="s">
        <v>260</v>
      </c>
      <c r="AW185" s="217" t="s">
        <v>506</v>
      </c>
      <c r="AX185" s="217" t="s">
        <v>254</v>
      </c>
      <c r="AY185" s="220" t="s">
        <v>558</v>
      </c>
    </row>
    <row r="186" spans="2:65" s="136" customFormat="1" ht="16.5" customHeight="1" x14ac:dyDescent="0.25">
      <c r="B186" s="137"/>
      <c r="C186" s="201" t="s">
        <v>293</v>
      </c>
      <c r="D186" s="201" t="s">
        <v>560</v>
      </c>
      <c r="E186" s="202" t="s">
        <v>673</v>
      </c>
      <c r="F186" s="203" t="s">
        <v>1217</v>
      </c>
      <c r="G186" s="204" t="s">
        <v>291</v>
      </c>
      <c r="H186" s="205">
        <v>8.1</v>
      </c>
      <c r="I186" s="206"/>
      <c r="J186" s="207">
        <f>ROUND(I186*H186,2)</f>
        <v>0</v>
      </c>
      <c r="K186" s="203" t="s">
        <v>563</v>
      </c>
      <c r="L186" s="137"/>
      <c r="M186" s="208" t="s">
        <v>180</v>
      </c>
      <c r="N186" s="209" t="s">
        <v>513</v>
      </c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212" t="s">
        <v>263</v>
      </c>
      <c r="AT186" s="212" t="s">
        <v>560</v>
      </c>
      <c r="AU186" s="212" t="s">
        <v>260</v>
      </c>
      <c r="AY186" s="127" t="s">
        <v>558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27" t="s">
        <v>254</v>
      </c>
      <c r="BK186" s="213">
        <f>ROUND(I186*H186,2)</f>
        <v>0</v>
      </c>
      <c r="BL186" s="127" t="s">
        <v>263</v>
      </c>
      <c r="BM186" s="212" t="s">
        <v>675</v>
      </c>
    </row>
    <row r="187" spans="2:65" s="136" customFormat="1" ht="19.5" x14ac:dyDescent="0.25">
      <c r="B187" s="137"/>
      <c r="D187" s="219" t="s">
        <v>1196</v>
      </c>
      <c r="F187" s="351" t="s">
        <v>674</v>
      </c>
      <c r="I187" s="215"/>
      <c r="L187" s="137"/>
      <c r="M187" s="216"/>
      <c r="T187" s="146"/>
      <c r="AT187" s="127" t="s">
        <v>1196</v>
      </c>
      <c r="AU187" s="127" t="s">
        <v>260</v>
      </c>
    </row>
    <row r="188" spans="2:65" s="136" customFormat="1" x14ac:dyDescent="0.25">
      <c r="B188" s="137"/>
      <c r="D188" s="214" t="s">
        <v>565</v>
      </c>
      <c r="F188" s="288" t="s">
        <v>676</v>
      </c>
      <c r="I188" s="215"/>
      <c r="L188" s="137"/>
      <c r="M188" s="216"/>
      <c r="T188" s="146"/>
      <c r="AT188" s="127" t="s">
        <v>565</v>
      </c>
      <c r="AU188" s="127" t="s">
        <v>260</v>
      </c>
    </row>
    <row r="189" spans="2:65" s="217" customFormat="1" x14ac:dyDescent="0.25">
      <c r="B189" s="218"/>
      <c r="D189" s="219" t="s">
        <v>567</v>
      </c>
      <c r="E189" s="220" t="s">
        <v>180</v>
      </c>
      <c r="F189" s="221" t="s">
        <v>677</v>
      </c>
      <c r="H189" s="222">
        <v>8.1</v>
      </c>
      <c r="I189" s="223"/>
      <c r="L189" s="218"/>
      <c r="M189" s="224"/>
      <c r="T189" s="225"/>
      <c r="AT189" s="220" t="s">
        <v>567</v>
      </c>
      <c r="AU189" s="220" t="s">
        <v>260</v>
      </c>
      <c r="AV189" s="217" t="s">
        <v>260</v>
      </c>
      <c r="AW189" s="217" t="s">
        <v>506</v>
      </c>
      <c r="AX189" s="217" t="s">
        <v>254</v>
      </c>
      <c r="AY189" s="220" t="s">
        <v>558</v>
      </c>
    </row>
    <row r="190" spans="2:65" s="136" customFormat="1" ht="16.5" customHeight="1" x14ac:dyDescent="0.25">
      <c r="B190" s="137"/>
      <c r="C190" s="241" t="s">
        <v>294</v>
      </c>
      <c r="D190" s="241" t="s">
        <v>678</v>
      </c>
      <c r="E190" s="242" t="s">
        <v>679</v>
      </c>
      <c r="F190" s="243" t="s">
        <v>680</v>
      </c>
      <c r="G190" s="244" t="s">
        <v>43</v>
      </c>
      <c r="H190" s="245">
        <v>16.2</v>
      </c>
      <c r="I190" s="246"/>
      <c r="J190" s="247">
        <f>ROUND(I190*H190,2)</f>
        <v>0</v>
      </c>
      <c r="K190" s="243" t="s">
        <v>563</v>
      </c>
      <c r="L190" s="248"/>
      <c r="M190" s="249" t="s">
        <v>180</v>
      </c>
      <c r="N190" s="250" t="s">
        <v>513</v>
      </c>
      <c r="P190" s="210">
        <f>O190*H190</f>
        <v>0</v>
      </c>
      <c r="Q190" s="210">
        <v>1</v>
      </c>
      <c r="R190" s="210">
        <f>Q190*H190</f>
        <v>16.2</v>
      </c>
      <c r="S190" s="210">
        <v>0</v>
      </c>
      <c r="T190" s="211">
        <f>S190*H190</f>
        <v>0</v>
      </c>
      <c r="AR190" s="212" t="s">
        <v>267</v>
      </c>
      <c r="AT190" s="212" t="s">
        <v>678</v>
      </c>
      <c r="AU190" s="212" t="s">
        <v>260</v>
      </c>
      <c r="AY190" s="127" t="s">
        <v>558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27" t="s">
        <v>254</v>
      </c>
      <c r="BK190" s="213">
        <f>ROUND(I190*H190,2)</f>
        <v>0</v>
      </c>
      <c r="BL190" s="127" t="s">
        <v>263</v>
      </c>
      <c r="BM190" s="212" t="s">
        <v>681</v>
      </c>
    </row>
    <row r="191" spans="2:65" s="136" customFormat="1" x14ac:dyDescent="0.25">
      <c r="B191" s="137"/>
      <c r="D191" s="219" t="s">
        <v>1196</v>
      </c>
      <c r="F191" s="351" t="s">
        <v>680</v>
      </c>
      <c r="I191" s="215"/>
      <c r="L191" s="137"/>
      <c r="M191" s="216"/>
      <c r="T191" s="146"/>
      <c r="AT191" s="127" t="s">
        <v>1196</v>
      </c>
      <c r="AU191" s="127" t="s">
        <v>260</v>
      </c>
    </row>
    <row r="192" spans="2:65" s="217" customFormat="1" x14ac:dyDescent="0.25">
      <c r="B192" s="218"/>
      <c r="D192" s="219" t="s">
        <v>567</v>
      </c>
      <c r="E192" s="220" t="s">
        <v>180</v>
      </c>
      <c r="F192" s="221" t="s">
        <v>682</v>
      </c>
      <c r="H192" s="222">
        <v>16.2</v>
      </c>
      <c r="I192" s="223"/>
      <c r="L192" s="218"/>
      <c r="M192" s="224"/>
      <c r="T192" s="225"/>
      <c r="AT192" s="220" t="s">
        <v>567</v>
      </c>
      <c r="AU192" s="220" t="s">
        <v>260</v>
      </c>
      <c r="AV192" s="217" t="s">
        <v>260</v>
      </c>
      <c r="AW192" s="217" t="s">
        <v>506</v>
      </c>
      <c r="AX192" s="217" t="s">
        <v>254</v>
      </c>
      <c r="AY192" s="220" t="s">
        <v>558</v>
      </c>
    </row>
    <row r="193" spans="2:65" s="136" customFormat="1" ht="16.5" customHeight="1" x14ac:dyDescent="0.25">
      <c r="B193" s="137"/>
      <c r="C193" s="201" t="s">
        <v>298</v>
      </c>
      <c r="D193" s="201" t="s">
        <v>560</v>
      </c>
      <c r="E193" s="202" t="s">
        <v>683</v>
      </c>
      <c r="F193" s="203" t="s">
        <v>1218</v>
      </c>
      <c r="G193" s="204" t="s">
        <v>255</v>
      </c>
      <c r="H193" s="205">
        <v>1181</v>
      </c>
      <c r="I193" s="206"/>
      <c r="J193" s="207">
        <f>ROUND(I193*H193,2)</f>
        <v>0</v>
      </c>
      <c r="K193" s="203" t="s">
        <v>563</v>
      </c>
      <c r="L193" s="137"/>
      <c r="M193" s="208" t="s">
        <v>180</v>
      </c>
      <c r="N193" s="209" t="s">
        <v>513</v>
      </c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212" t="s">
        <v>263</v>
      </c>
      <c r="AT193" s="212" t="s">
        <v>560</v>
      </c>
      <c r="AU193" s="212" t="s">
        <v>260</v>
      </c>
      <c r="AY193" s="127" t="s">
        <v>558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27" t="s">
        <v>254</v>
      </c>
      <c r="BK193" s="213">
        <f>ROUND(I193*H193,2)</f>
        <v>0</v>
      </c>
      <c r="BL193" s="127" t="s">
        <v>263</v>
      </c>
      <c r="BM193" s="212" t="s">
        <v>685</v>
      </c>
    </row>
    <row r="194" spans="2:65" s="136" customFormat="1" x14ac:dyDescent="0.25">
      <c r="B194" s="137"/>
      <c r="D194" s="219" t="s">
        <v>1196</v>
      </c>
      <c r="F194" s="351" t="s">
        <v>684</v>
      </c>
      <c r="I194" s="215"/>
      <c r="L194" s="137"/>
      <c r="M194" s="216"/>
      <c r="T194" s="146"/>
      <c r="AT194" s="127" t="s">
        <v>1196</v>
      </c>
      <c r="AU194" s="127" t="s">
        <v>260</v>
      </c>
    </row>
    <row r="195" spans="2:65" s="136" customFormat="1" x14ac:dyDescent="0.25">
      <c r="B195" s="137"/>
      <c r="D195" s="214" t="s">
        <v>565</v>
      </c>
      <c r="F195" s="288" t="s">
        <v>686</v>
      </c>
      <c r="I195" s="215"/>
      <c r="L195" s="137"/>
      <c r="M195" s="216"/>
      <c r="T195" s="146"/>
      <c r="AT195" s="127" t="s">
        <v>565</v>
      </c>
      <c r="AU195" s="127" t="s">
        <v>260</v>
      </c>
    </row>
    <row r="196" spans="2:65" s="217" customFormat="1" x14ac:dyDescent="0.25">
      <c r="B196" s="218"/>
      <c r="D196" s="219" t="s">
        <v>567</v>
      </c>
      <c r="E196" s="220" t="s">
        <v>180</v>
      </c>
      <c r="F196" s="221" t="s">
        <v>687</v>
      </c>
      <c r="H196" s="222">
        <v>1181</v>
      </c>
      <c r="I196" s="223"/>
      <c r="L196" s="218"/>
      <c r="M196" s="224"/>
      <c r="T196" s="225"/>
      <c r="AT196" s="220" t="s">
        <v>567</v>
      </c>
      <c r="AU196" s="220" t="s">
        <v>260</v>
      </c>
      <c r="AV196" s="217" t="s">
        <v>260</v>
      </c>
      <c r="AW196" s="217" t="s">
        <v>506</v>
      </c>
      <c r="AX196" s="217" t="s">
        <v>254</v>
      </c>
      <c r="AY196" s="220" t="s">
        <v>558</v>
      </c>
    </row>
    <row r="197" spans="2:65" s="188" customFormat="1" ht="22.9" customHeight="1" x14ac:dyDescent="0.2">
      <c r="B197" s="189"/>
      <c r="D197" s="190" t="s">
        <v>523</v>
      </c>
      <c r="E197" s="199" t="s">
        <v>260</v>
      </c>
      <c r="F197" s="199" t="s">
        <v>688</v>
      </c>
      <c r="I197" s="192"/>
      <c r="J197" s="200">
        <f>BK197</f>
        <v>0</v>
      </c>
      <c r="L197" s="189"/>
      <c r="M197" s="194"/>
      <c r="P197" s="195">
        <f>SUM(P198:P222)</f>
        <v>0</v>
      </c>
      <c r="R197" s="195">
        <f>SUM(R198:R222)</f>
        <v>25.043792800000002</v>
      </c>
      <c r="T197" s="196">
        <f>SUM(T198:T222)</f>
        <v>0</v>
      </c>
      <c r="AR197" s="190" t="s">
        <v>254</v>
      </c>
      <c r="AT197" s="197" t="s">
        <v>523</v>
      </c>
      <c r="AU197" s="197" t="s">
        <v>254</v>
      </c>
      <c r="AY197" s="190" t="s">
        <v>558</v>
      </c>
      <c r="BK197" s="198">
        <f>SUM(BK198:BK222)</f>
        <v>0</v>
      </c>
    </row>
    <row r="198" spans="2:65" s="136" customFormat="1" ht="16.5" customHeight="1" x14ac:dyDescent="0.25">
      <c r="B198" s="137"/>
      <c r="C198" s="201" t="s">
        <v>301</v>
      </c>
      <c r="D198" s="201" t="s">
        <v>560</v>
      </c>
      <c r="E198" s="202" t="s">
        <v>689</v>
      </c>
      <c r="F198" s="203" t="s">
        <v>1219</v>
      </c>
      <c r="G198" s="204" t="s">
        <v>291</v>
      </c>
      <c r="H198" s="205">
        <v>0.42</v>
      </c>
      <c r="I198" s="206"/>
      <c r="J198" s="207">
        <f>ROUND(I198*H198,2)</f>
        <v>0</v>
      </c>
      <c r="K198" s="203" t="s">
        <v>563</v>
      </c>
      <c r="L198" s="137"/>
      <c r="M198" s="208" t="s">
        <v>180</v>
      </c>
      <c r="N198" s="209" t="s">
        <v>513</v>
      </c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212" t="s">
        <v>263</v>
      </c>
      <c r="AT198" s="212" t="s">
        <v>560</v>
      </c>
      <c r="AU198" s="212" t="s">
        <v>260</v>
      </c>
      <c r="AY198" s="127" t="s">
        <v>558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27" t="s">
        <v>254</v>
      </c>
      <c r="BK198" s="213">
        <f>ROUND(I198*H198,2)</f>
        <v>0</v>
      </c>
      <c r="BL198" s="127" t="s">
        <v>263</v>
      </c>
      <c r="BM198" s="212" t="s">
        <v>691</v>
      </c>
    </row>
    <row r="199" spans="2:65" s="136" customFormat="1" ht="19.5" x14ac:dyDescent="0.25">
      <c r="B199" s="137"/>
      <c r="D199" s="219" t="s">
        <v>1196</v>
      </c>
      <c r="F199" s="351" t="s">
        <v>690</v>
      </c>
      <c r="I199" s="215"/>
      <c r="L199" s="137"/>
      <c r="M199" s="216"/>
      <c r="T199" s="146"/>
      <c r="AT199" s="127" t="s">
        <v>1196</v>
      </c>
      <c r="AU199" s="127" t="s">
        <v>260</v>
      </c>
    </row>
    <row r="200" spans="2:65" s="136" customFormat="1" x14ac:dyDescent="0.25">
      <c r="B200" s="137"/>
      <c r="D200" s="214" t="s">
        <v>565</v>
      </c>
      <c r="F200" s="288" t="s">
        <v>692</v>
      </c>
      <c r="I200" s="215"/>
      <c r="L200" s="137"/>
      <c r="M200" s="216"/>
      <c r="T200" s="146"/>
      <c r="AT200" s="127" t="s">
        <v>565</v>
      </c>
      <c r="AU200" s="127" t="s">
        <v>260</v>
      </c>
    </row>
    <row r="201" spans="2:65" s="217" customFormat="1" x14ac:dyDescent="0.25">
      <c r="B201" s="218"/>
      <c r="D201" s="219" t="s">
        <v>567</v>
      </c>
      <c r="E201" s="220" t="s">
        <v>180</v>
      </c>
      <c r="F201" s="221" t="s">
        <v>1220</v>
      </c>
      <c r="H201" s="222">
        <v>0.42</v>
      </c>
      <c r="I201" s="223"/>
      <c r="L201" s="218"/>
      <c r="M201" s="224"/>
      <c r="T201" s="225"/>
      <c r="AT201" s="220" t="s">
        <v>567</v>
      </c>
      <c r="AU201" s="220" t="s">
        <v>260</v>
      </c>
      <c r="AV201" s="217" t="s">
        <v>260</v>
      </c>
      <c r="AW201" s="217" t="s">
        <v>506</v>
      </c>
      <c r="AX201" s="217" t="s">
        <v>254</v>
      </c>
      <c r="AY201" s="220" t="s">
        <v>558</v>
      </c>
    </row>
    <row r="202" spans="2:65" s="136" customFormat="1" ht="16.5" customHeight="1" x14ac:dyDescent="0.25">
      <c r="B202" s="137"/>
      <c r="C202" s="201" t="s">
        <v>304</v>
      </c>
      <c r="D202" s="201" t="s">
        <v>560</v>
      </c>
      <c r="E202" s="202" t="s">
        <v>693</v>
      </c>
      <c r="F202" s="203" t="s">
        <v>1221</v>
      </c>
      <c r="G202" s="204" t="s">
        <v>255</v>
      </c>
      <c r="H202" s="205">
        <v>226.8</v>
      </c>
      <c r="I202" s="206"/>
      <c r="J202" s="207">
        <f>ROUND(I202*H202,2)</f>
        <v>0</v>
      </c>
      <c r="K202" s="203" t="s">
        <v>563</v>
      </c>
      <c r="L202" s="137"/>
      <c r="M202" s="208" t="s">
        <v>180</v>
      </c>
      <c r="N202" s="209" t="s">
        <v>513</v>
      </c>
      <c r="P202" s="210">
        <f>O202*H202</f>
        <v>0</v>
      </c>
      <c r="Q202" s="210">
        <v>3.1E-4</v>
      </c>
      <c r="R202" s="210">
        <f>Q202*H202</f>
        <v>7.0308000000000009E-2</v>
      </c>
      <c r="S202" s="210">
        <v>0</v>
      </c>
      <c r="T202" s="211">
        <f>S202*H202</f>
        <v>0</v>
      </c>
      <c r="AR202" s="212" t="s">
        <v>263</v>
      </c>
      <c r="AT202" s="212" t="s">
        <v>560</v>
      </c>
      <c r="AU202" s="212" t="s">
        <v>260</v>
      </c>
      <c r="AY202" s="127" t="s">
        <v>558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27" t="s">
        <v>254</v>
      </c>
      <c r="BK202" s="213">
        <f>ROUND(I202*H202,2)</f>
        <v>0</v>
      </c>
      <c r="BL202" s="127" t="s">
        <v>263</v>
      </c>
      <c r="BM202" s="212" t="s">
        <v>695</v>
      </c>
    </row>
    <row r="203" spans="2:65" s="136" customFormat="1" ht="19.5" x14ac:dyDescent="0.25">
      <c r="B203" s="137"/>
      <c r="D203" s="219" t="s">
        <v>1196</v>
      </c>
      <c r="F203" s="351" t="s">
        <v>694</v>
      </c>
      <c r="I203" s="215"/>
      <c r="L203" s="137"/>
      <c r="M203" s="216"/>
      <c r="T203" s="146"/>
      <c r="AT203" s="127" t="s">
        <v>1196</v>
      </c>
      <c r="AU203" s="127" t="s">
        <v>260</v>
      </c>
    </row>
    <row r="204" spans="2:65" s="136" customFormat="1" x14ac:dyDescent="0.25">
      <c r="B204" s="137"/>
      <c r="D204" s="214" t="s">
        <v>565</v>
      </c>
      <c r="F204" s="288" t="s">
        <v>696</v>
      </c>
      <c r="I204" s="215"/>
      <c r="L204" s="137"/>
      <c r="M204" s="216"/>
      <c r="T204" s="146"/>
      <c r="AT204" s="127" t="s">
        <v>565</v>
      </c>
      <c r="AU204" s="127" t="s">
        <v>260</v>
      </c>
    </row>
    <row r="205" spans="2:65" s="217" customFormat="1" x14ac:dyDescent="0.25">
      <c r="B205" s="218"/>
      <c r="D205" s="219" t="s">
        <v>567</v>
      </c>
      <c r="E205" s="220" t="s">
        <v>180</v>
      </c>
      <c r="F205" s="221" t="s">
        <v>697</v>
      </c>
      <c r="H205" s="222">
        <v>216</v>
      </c>
      <c r="I205" s="223"/>
      <c r="L205" s="218"/>
      <c r="M205" s="224"/>
      <c r="T205" s="225"/>
      <c r="AT205" s="220" t="s">
        <v>567</v>
      </c>
      <c r="AU205" s="220" t="s">
        <v>260</v>
      </c>
      <c r="AV205" s="217" t="s">
        <v>260</v>
      </c>
      <c r="AW205" s="217" t="s">
        <v>506</v>
      </c>
      <c r="AX205" s="217" t="s">
        <v>295</v>
      </c>
      <c r="AY205" s="220" t="s">
        <v>558</v>
      </c>
    </row>
    <row r="206" spans="2:65" s="217" customFormat="1" x14ac:dyDescent="0.25">
      <c r="B206" s="218"/>
      <c r="D206" s="219" t="s">
        <v>567</v>
      </c>
      <c r="E206" s="220" t="s">
        <v>180</v>
      </c>
      <c r="F206" s="221" t="s">
        <v>698</v>
      </c>
      <c r="H206" s="222">
        <v>10.8</v>
      </c>
      <c r="I206" s="223"/>
      <c r="L206" s="218"/>
      <c r="M206" s="224"/>
      <c r="T206" s="225"/>
      <c r="AT206" s="220" t="s">
        <v>567</v>
      </c>
      <c r="AU206" s="220" t="s">
        <v>260</v>
      </c>
      <c r="AV206" s="217" t="s">
        <v>260</v>
      </c>
      <c r="AW206" s="217" t="s">
        <v>506</v>
      </c>
      <c r="AX206" s="217" t="s">
        <v>295</v>
      </c>
      <c r="AY206" s="220" t="s">
        <v>558</v>
      </c>
    </row>
    <row r="207" spans="2:65" s="226" customFormat="1" x14ac:dyDescent="0.25">
      <c r="B207" s="227"/>
      <c r="D207" s="219" t="s">
        <v>567</v>
      </c>
      <c r="E207" s="228" t="s">
        <v>180</v>
      </c>
      <c r="F207" s="229" t="s">
        <v>595</v>
      </c>
      <c r="H207" s="230">
        <v>226.8</v>
      </c>
      <c r="I207" s="231"/>
      <c r="L207" s="227"/>
      <c r="M207" s="232"/>
      <c r="T207" s="233"/>
      <c r="AT207" s="228" t="s">
        <v>567</v>
      </c>
      <c r="AU207" s="228" t="s">
        <v>260</v>
      </c>
      <c r="AV207" s="226" t="s">
        <v>263</v>
      </c>
      <c r="AW207" s="226" t="s">
        <v>506</v>
      </c>
      <c r="AX207" s="226" t="s">
        <v>254</v>
      </c>
      <c r="AY207" s="228" t="s">
        <v>558</v>
      </c>
    </row>
    <row r="208" spans="2:65" s="136" customFormat="1" ht="16.5" customHeight="1" x14ac:dyDescent="0.25">
      <c r="B208" s="137"/>
      <c r="C208" s="241" t="s">
        <v>306</v>
      </c>
      <c r="D208" s="241" t="s">
        <v>678</v>
      </c>
      <c r="E208" s="242" t="s">
        <v>699</v>
      </c>
      <c r="F208" s="243" t="s">
        <v>700</v>
      </c>
      <c r="G208" s="244" t="s">
        <v>255</v>
      </c>
      <c r="H208" s="245">
        <v>1035.0160000000001</v>
      </c>
      <c r="I208" s="246"/>
      <c r="J208" s="247">
        <f>ROUND(I208*H208,2)</f>
        <v>0</v>
      </c>
      <c r="K208" s="243" t="s">
        <v>563</v>
      </c>
      <c r="L208" s="248"/>
      <c r="M208" s="249" t="s">
        <v>180</v>
      </c>
      <c r="N208" s="250" t="s">
        <v>513</v>
      </c>
      <c r="P208" s="210">
        <f>O208*H208</f>
        <v>0</v>
      </c>
      <c r="Q208" s="210">
        <v>2.9999999999999997E-4</v>
      </c>
      <c r="R208" s="210">
        <f>Q208*H208</f>
        <v>0.31050479999999997</v>
      </c>
      <c r="S208" s="210">
        <v>0</v>
      </c>
      <c r="T208" s="211">
        <f>S208*H208</f>
        <v>0</v>
      </c>
      <c r="AR208" s="212" t="s">
        <v>267</v>
      </c>
      <c r="AT208" s="212" t="s">
        <v>678</v>
      </c>
      <c r="AU208" s="212" t="s">
        <v>260</v>
      </c>
      <c r="AY208" s="127" t="s">
        <v>558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27" t="s">
        <v>254</v>
      </c>
      <c r="BK208" s="213">
        <f>ROUND(I208*H208,2)</f>
        <v>0</v>
      </c>
      <c r="BL208" s="127" t="s">
        <v>263</v>
      </c>
      <c r="BM208" s="212" t="s">
        <v>701</v>
      </c>
    </row>
    <row r="209" spans="2:65" s="136" customFormat="1" x14ac:dyDescent="0.25">
      <c r="B209" s="137"/>
      <c r="D209" s="219" t="s">
        <v>1196</v>
      </c>
      <c r="F209" s="351" t="s">
        <v>700</v>
      </c>
      <c r="I209" s="215"/>
      <c r="L209" s="137"/>
      <c r="M209" s="216"/>
      <c r="T209" s="146"/>
      <c r="AT209" s="127" t="s">
        <v>1196</v>
      </c>
      <c r="AU209" s="127" t="s">
        <v>260</v>
      </c>
    </row>
    <row r="210" spans="2:65" s="217" customFormat="1" x14ac:dyDescent="0.25">
      <c r="B210" s="218"/>
      <c r="D210" s="219" t="s">
        <v>567</v>
      </c>
      <c r="E210" s="220" t="s">
        <v>180</v>
      </c>
      <c r="F210" s="221" t="s">
        <v>697</v>
      </c>
      <c r="H210" s="222">
        <v>216</v>
      </c>
      <c r="I210" s="223"/>
      <c r="L210" s="218"/>
      <c r="M210" s="224"/>
      <c r="T210" s="225"/>
      <c r="AT210" s="220" t="s">
        <v>567</v>
      </c>
      <c r="AU210" s="220" t="s">
        <v>260</v>
      </c>
      <c r="AV210" s="217" t="s">
        <v>260</v>
      </c>
      <c r="AW210" s="217" t="s">
        <v>506</v>
      </c>
      <c r="AX210" s="217" t="s">
        <v>295</v>
      </c>
      <c r="AY210" s="220" t="s">
        <v>558</v>
      </c>
    </row>
    <row r="211" spans="2:65" s="217" customFormat="1" x14ac:dyDescent="0.25">
      <c r="B211" s="218"/>
      <c r="D211" s="219" t="s">
        <v>567</v>
      </c>
      <c r="E211" s="220" t="s">
        <v>180</v>
      </c>
      <c r="F211" s="221" t="s">
        <v>698</v>
      </c>
      <c r="H211" s="222">
        <v>10.8</v>
      </c>
      <c r="I211" s="223"/>
      <c r="L211" s="218"/>
      <c r="M211" s="224"/>
      <c r="T211" s="225"/>
      <c r="AT211" s="220" t="s">
        <v>567</v>
      </c>
      <c r="AU211" s="220" t="s">
        <v>260</v>
      </c>
      <c r="AV211" s="217" t="s">
        <v>260</v>
      </c>
      <c r="AW211" s="217" t="s">
        <v>506</v>
      </c>
      <c r="AX211" s="217" t="s">
        <v>295</v>
      </c>
      <c r="AY211" s="220" t="s">
        <v>558</v>
      </c>
    </row>
    <row r="212" spans="2:65" s="217" customFormat="1" x14ac:dyDescent="0.25">
      <c r="B212" s="218"/>
      <c r="D212" s="219" t="s">
        <v>567</v>
      </c>
      <c r="E212" s="220" t="s">
        <v>180</v>
      </c>
      <c r="F212" s="221" t="s">
        <v>702</v>
      </c>
      <c r="H212" s="222">
        <v>647</v>
      </c>
      <c r="I212" s="223"/>
      <c r="L212" s="218"/>
      <c r="M212" s="224"/>
      <c r="T212" s="225"/>
      <c r="AT212" s="220" t="s">
        <v>567</v>
      </c>
      <c r="AU212" s="220" t="s">
        <v>260</v>
      </c>
      <c r="AV212" s="217" t="s">
        <v>260</v>
      </c>
      <c r="AW212" s="217" t="s">
        <v>506</v>
      </c>
      <c r="AX212" s="217" t="s">
        <v>295</v>
      </c>
      <c r="AY212" s="220" t="s">
        <v>558</v>
      </c>
    </row>
    <row r="213" spans="2:65" s="226" customFormat="1" x14ac:dyDescent="0.25">
      <c r="B213" s="227"/>
      <c r="D213" s="219" t="s">
        <v>567</v>
      </c>
      <c r="E213" s="228" t="s">
        <v>180</v>
      </c>
      <c r="F213" s="229" t="s">
        <v>595</v>
      </c>
      <c r="H213" s="230">
        <v>873.8</v>
      </c>
      <c r="I213" s="231"/>
      <c r="L213" s="227"/>
      <c r="M213" s="232"/>
      <c r="T213" s="233"/>
      <c r="AT213" s="228" t="s">
        <v>567</v>
      </c>
      <c r="AU213" s="228" t="s">
        <v>260</v>
      </c>
      <c r="AV213" s="226" t="s">
        <v>263</v>
      </c>
      <c r="AW213" s="226" t="s">
        <v>506</v>
      </c>
      <c r="AX213" s="226" t="s">
        <v>254</v>
      </c>
      <c r="AY213" s="228" t="s">
        <v>558</v>
      </c>
    </row>
    <row r="214" spans="2:65" s="217" customFormat="1" x14ac:dyDescent="0.25">
      <c r="B214" s="218"/>
      <c r="D214" s="219" t="s">
        <v>567</v>
      </c>
      <c r="F214" s="221" t="s">
        <v>703</v>
      </c>
      <c r="H214" s="222">
        <v>1035.0160000000001</v>
      </c>
      <c r="I214" s="223"/>
      <c r="L214" s="218"/>
      <c r="M214" s="224"/>
      <c r="T214" s="225"/>
      <c r="AT214" s="220" t="s">
        <v>567</v>
      </c>
      <c r="AU214" s="220" t="s">
        <v>260</v>
      </c>
      <c r="AV214" s="217" t="s">
        <v>260</v>
      </c>
      <c r="AW214" s="217" t="s">
        <v>496</v>
      </c>
      <c r="AX214" s="217" t="s">
        <v>254</v>
      </c>
      <c r="AY214" s="220" t="s">
        <v>558</v>
      </c>
    </row>
    <row r="215" spans="2:65" s="136" customFormat="1" ht="24.2" customHeight="1" x14ac:dyDescent="0.25">
      <c r="B215" s="137"/>
      <c r="C215" s="201" t="s">
        <v>307</v>
      </c>
      <c r="D215" s="201" t="s">
        <v>560</v>
      </c>
      <c r="E215" s="202" t="s">
        <v>704</v>
      </c>
      <c r="F215" s="203" t="s">
        <v>1222</v>
      </c>
      <c r="G215" s="204" t="s">
        <v>35</v>
      </c>
      <c r="H215" s="205">
        <v>120</v>
      </c>
      <c r="I215" s="206"/>
      <c r="J215" s="207">
        <f>ROUND(I215*H215,2)</f>
        <v>0</v>
      </c>
      <c r="K215" s="203" t="s">
        <v>563</v>
      </c>
      <c r="L215" s="137"/>
      <c r="M215" s="208" t="s">
        <v>180</v>
      </c>
      <c r="N215" s="209" t="s">
        <v>513</v>
      </c>
      <c r="P215" s="210">
        <f>O215*H215</f>
        <v>0</v>
      </c>
      <c r="Q215" s="210">
        <v>0.20477000000000001</v>
      </c>
      <c r="R215" s="210">
        <f>Q215*H215</f>
        <v>24.572400000000002</v>
      </c>
      <c r="S215" s="210">
        <v>0</v>
      </c>
      <c r="T215" s="211">
        <f>S215*H215</f>
        <v>0</v>
      </c>
      <c r="AR215" s="212" t="s">
        <v>263</v>
      </c>
      <c r="AT215" s="212" t="s">
        <v>560</v>
      </c>
      <c r="AU215" s="212" t="s">
        <v>260</v>
      </c>
      <c r="AY215" s="127" t="s">
        <v>558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27" t="s">
        <v>254</v>
      </c>
      <c r="BK215" s="213">
        <f>ROUND(I215*H215,2)</f>
        <v>0</v>
      </c>
      <c r="BL215" s="127" t="s">
        <v>263</v>
      </c>
      <c r="BM215" s="212" t="s">
        <v>706</v>
      </c>
    </row>
    <row r="216" spans="2:65" s="136" customFormat="1" ht="19.5" x14ac:dyDescent="0.25">
      <c r="B216" s="137"/>
      <c r="D216" s="219" t="s">
        <v>1196</v>
      </c>
      <c r="F216" s="351" t="s">
        <v>705</v>
      </c>
      <c r="I216" s="215"/>
      <c r="L216" s="137"/>
      <c r="M216" s="216"/>
      <c r="T216" s="146"/>
      <c r="AT216" s="127" t="s">
        <v>1196</v>
      </c>
      <c r="AU216" s="127" t="s">
        <v>260</v>
      </c>
    </row>
    <row r="217" spans="2:65" s="136" customFormat="1" x14ac:dyDescent="0.25">
      <c r="B217" s="137"/>
      <c r="D217" s="214" t="s">
        <v>565</v>
      </c>
      <c r="F217" s="288" t="s">
        <v>707</v>
      </c>
      <c r="I217" s="215"/>
      <c r="L217" s="137"/>
      <c r="M217" s="216"/>
      <c r="T217" s="146"/>
      <c r="AT217" s="127" t="s">
        <v>565</v>
      </c>
      <c r="AU217" s="127" t="s">
        <v>260</v>
      </c>
    </row>
    <row r="218" spans="2:65" s="217" customFormat="1" x14ac:dyDescent="0.25">
      <c r="B218" s="218"/>
      <c r="D218" s="219" t="s">
        <v>567</v>
      </c>
      <c r="E218" s="220" t="s">
        <v>180</v>
      </c>
      <c r="F218" s="221" t="s">
        <v>708</v>
      </c>
      <c r="H218" s="222">
        <v>120</v>
      </c>
      <c r="I218" s="223"/>
      <c r="L218" s="218"/>
      <c r="M218" s="224"/>
      <c r="T218" s="225"/>
      <c r="AT218" s="220" t="s">
        <v>567</v>
      </c>
      <c r="AU218" s="220" t="s">
        <v>260</v>
      </c>
      <c r="AV218" s="217" t="s">
        <v>260</v>
      </c>
      <c r="AW218" s="217" t="s">
        <v>506</v>
      </c>
      <c r="AX218" s="217" t="s">
        <v>254</v>
      </c>
      <c r="AY218" s="220" t="s">
        <v>558</v>
      </c>
    </row>
    <row r="219" spans="2:65" s="136" customFormat="1" ht="16.5" customHeight="1" x14ac:dyDescent="0.25">
      <c r="B219" s="137"/>
      <c r="C219" s="201" t="s">
        <v>308</v>
      </c>
      <c r="D219" s="201" t="s">
        <v>560</v>
      </c>
      <c r="E219" s="202" t="s">
        <v>709</v>
      </c>
      <c r="F219" s="203" t="s">
        <v>1223</v>
      </c>
      <c r="G219" s="204" t="s">
        <v>255</v>
      </c>
      <c r="H219" s="205">
        <v>647</v>
      </c>
      <c r="I219" s="206"/>
      <c r="J219" s="207">
        <f>ROUND(I219*H219,2)</f>
        <v>0</v>
      </c>
      <c r="K219" s="203" t="s">
        <v>563</v>
      </c>
      <c r="L219" s="137"/>
      <c r="M219" s="208" t="s">
        <v>180</v>
      </c>
      <c r="N219" s="209" t="s">
        <v>513</v>
      </c>
      <c r="P219" s="210">
        <f>O219*H219</f>
        <v>0</v>
      </c>
      <c r="Q219" s="210">
        <v>1.3999999999999999E-4</v>
      </c>
      <c r="R219" s="210">
        <f>Q219*H219</f>
        <v>9.0579999999999994E-2</v>
      </c>
      <c r="S219" s="210">
        <v>0</v>
      </c>
      <c r="T219" s="211">
        <f>S219*H219</f>
        <v>0</v>
      </c>
      <c r="AR219" s="212" t="s">
        <v>263</v>
      </c>
      <c r="AT219" s="212" t="s">
        <v>560</v>
      </c>
      <c r="AU219" s="212" t="s">
        <v>260</v>
      </c>
      <c r="AY219" s="127" t="s">
        <v>558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27" t="s">
        <v>254</v>
      </c>
      <c r="BK219" s="213">
        <f>ROUND(I219*H219,2)</f>
        <v>0</v>
      </c>
      <c r="BL219" s="127" t="s">
        <v>263</v>
      </c>
      <c r="BM219" s="212" t="s">
        <v>711</v>
      </c>
    </row>
    <row r="220" spans="2:65" s="136" customFormat="1" ht="19.5" x14ac:dyDescent="0.25">
      <c r="B220" s="137"/>
      <c r="D220" s="219" t="s">
        <v>1196</v>
      </c>
      <c r="F220" s="351" t="s">
        <v>710</v>
      </c>
      <c r="I220" s="215"/>
      <c r="L220" s="137"/>
      <c r="M220" s="216"/>
      <c r="T220" s="146"/>
      <c r="AT220" s="127" t="s">
        <v>1196</v>
      </c>
      <c r="AU220" s="127" t="s">
        <v>260</v>
      </c>
    </row>
    <row r="221" spans="2:65" s="136" customFormat="1" x14ac:dyDescent="0.25">
      <c r="B221" s="137"/>
      <c r="D221" s="214" t="s">
        <v>565</v>
      </c>
      <c r="F221" s="288" t="s">
        <v>712</v>
      </c>
      <c r="I221" s="215"/>
      <c r="L221" s="137"/>
      <c r="M221" s="216"/>
      <c r="T221" s="146"/>
      <c r="AT221" s="127" t="s">
        <v>565</v>
      </c>
      <c r="AU221" s="127" t="s">
        <v>260</v>
      </c>
    </row>
    <row r="222" spans="2:65" s="217" customFormat="1" x14ac:dyDescent="0.25">
      <c r="B222" s="218"/>
      <c r="D222" s="219" t="s">
        <v>567</v>
      </c>
      <c r="E222" s="220" t="s">
        <v>180</v>
      </c>
      <c r="F222" s="221" t="s">
        <v>702</v>
      </c>
      <c r="H222" s="222">
        <v>647</v>
      </c>
      <c r="I222" s="223"/>
      <c r="L222" s="218"/>
      <c r="M222" s="224"/>
      <c r="T222" s="225"/>
      <c r="AT222" s="220" t="s">
        <v>567</v>
      </c>
      <c r="AU222" s="220" t="s">
        <v>260</v>
      </c>
      <c r="AV222" s="217" t="s">
        <v>260</v>
      </c>
      <c r="AW222" s="217" t="s">
        <v>506</v>
      </c>
      <c r="AX222" s="217" t="s">
        <v>254</v>
      </c>
      <c r="AY222" s="220" t="s">
        <v>558</v>
      </c>
    </row>
    <row r="223" spans="2:65" s="188" customFormat="1" ht="22.9" customHeight="1" x14ac:dyDescent="0.2">
      <c r="B223" s="189"/>
      <c r="D223" s="190" t="s">
        <v>523</v>
      </c>
      <c r="E223" s="199" t="s">
        <v>264</v>
      </c>
      <c r="F223" s="199" t="s">
        <v>713</v>
      </c>
      <c r="I223" s="192"/>
      <c r="J223" s="200">
        <f>BK223</f>
        <v>0</v>
      </c>
      <c r="L223" s="189"/>
      <c r="M223" s="194"/>
      <c r="P223" s="195">
        <f>SUM(P224:P282)</f>
        <v>0</v>
      </c>
      <c r="R223" s="195">
        <f>SUM(R224:R282)</f>
        <v>385.15694000000002</v>
      </c>
      <c r="T223" s="196">
        <f>SUM(T224:T282)</f>
        <v>0</v>
      </c>
      <c r="AR223" s="190" t="s">
        <v>254</v>
      </c>
      <c r="AT223" s="197" t="s">
        <v>523</v>
      </c>
      <c r="AU223" s="197" t="s">
        <v>254</v>
      </c>
      <c r="AY223" s="190" t="s">
        <v>558</v>
      </c>
      <c r="BK223" s="198">
        <f>SUM(BK224:BK282)</f>
        <v>0</v>
      </c>
    </row>
    <row r="224" spans="2:65" s="136" customFormat="1" ht="16.5" customHeight="1" x14ac:dyDescent="0.25">
      <c r="B224" s="137"/>
      <c r="C224" s="201" t="s">
        <v>309</v>
      </c>
      <c r="D224" s="201" t="s">
        <v>560</v>
      </c>
      <c r="E224" s="202" t="s">
        <v>714</v>
      </c>
      <c r="F224" s="203" t="s">
        <v>1224</v>
      </c>
      <c r="G224" s="204" t="s">
        <v>255</v>
      </c>
      <c r="H224" s="205">
        <v>918</v>
      </c>
      <c r="I224" s="206"/>
      <c r="J224" s="207">
        <f>ROUND(I224*H224,2)</f>
        <v>0</v>
      </c>
      <c r="K224" s="203" t="s">
        <v>563</v>
      </c>
      <c r="L224" s="137"/>
      <c r="M224" s="208" t="s">
        <v>180</v>
      </c>
      <c r="N224" s="209" t="s">
        <v>513</v>
      </c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AR224" s="212" t="s">
        <v>263</v>
      </c>
      <c r="AT224" s="212" t="s">
        <v>560</v>
      </c>
      <c r="AU224" s="212" t="s">
        <v>260</v>
      </c>
      <c r="AY224" s="127" t="s">
        <v>558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27" t="s">
        <v>254</v>
      </c>
      <c r="BK224" s="213">
        <f>ROUND(I224*H224,2)</f>
        <v>0</v>
      </c>
      <c r="BL224" s="127" t="s">
        <v>263</v>
      </c>
      <c r="BM224" s="212" t="s">
        <v>716</v>
      </c>
    </row>
    <row r="225" spans="2:65" s="136" customFormat="1" x14ac:dyDescent="0.25">
      <c r="B225" s="137"/>
      <c r="D225" s="219" t="s">
        <v>1196</v>
      </c>
      <c r="F225" s="351" t="s">
        <v>715</v>
      </c>
      <c r="I225" s="215"/>
      <c r="L225" s="137"/>
      <c r="M225" s="216"/>
      <c r="T225" s="146"/>
      <c r="AT225" s="127" t="s">
        <v>1196</v>
      </c>
      <c r="AU225" s="127" t="s">
        <v>260</v>
      </c>
    </row>
    <row r="226" spans="2:65" s="136" customFormat="1" x14ac:dyDescent="0.25">
      <c r="B226" s="137"/>
      <c r="D226" s="214" t="s">
        <v>565</v>
      </c>
      <c r="F226" s="288" t="s">
        <v>717</v>
      </c>
      <c r="I226" s="215"/>
      <c r="L226" s="137"/>
      <c r="M226" s="216"/>
      <c r="T226" s="146"/>
      <c r="AT226" s="127" t="s">
        <v>565</v>
      </c>
      <c r="AU226" s="127" t="s">
        <v>260</v>
      </c>
    </row>
    <row r="227" spans="2:65" s="217" customFormat="1" x14ac:dyDescent="0.25">
      <c r="B227" s="218"/>
      <c r="D227" s="219" t="s">
        <v>567</v>
      </c>
      <c r="E227" s="220" t="s">
        <v>180</v>
      </c>
      <c r="F227" s="221" t="s">
        <v>718</v>
      </c>
      <c r="H227" s="222">
        <v>918</v>
      </c>
      <c r="I227" s="223"/>
      <c r="L227" s="218"/>
      <c r="M227" s="224"/>
      <c r="T227" s="225"/>
      <c r="AT227" s="220" t="s">
        <v>567</v>
      </c>
      <c r="AU227" s="220" t="s">
        <v>260</v>
      </c>
      <c r="AV227" s="217" t="s">
        <v>260</v>
      </c>
      <c r="AW227" s="217" t="s">
        <v>506</v>
      </c>
      <c r="AX227" s="217" t="s">
        <v>254</v>
      </c>
      <c r="AY227" s="220" t="s">
        <v>558</v>
      </c>
    </row>
    <row r="228" spans="2:65" s="136" customFormat="1" ht="16.5" customHeight="1" x14ac:dyDescent="0.25">
      <c r="B228" s="137"/>
      <c r="C228" s="201" t="s">
        <v>310</v>
      </c>
      <c r="D228" s="201" t="s">
        <v>560</v>
      </c>
      <c r="E228" s="202" t="s">
        <v>719</v>
      </c>
      <c r="F228" s="203" t="s">
        <v>1225</v>
      </c>
      <c r="G228" s="204" t="s">
        <v>255</v>
      </c>
      <c r="H228" s="205">
        <v>647</v>
      </c>
      <c r="I228" s="206"/>
      <c r="J228" s="207">
        <f>ROUND(I228*H228,2)</f>
        <v>0</v>
      </c>
      <c r="K228" s="203" t="s">
        <v>563</v>
      </c>
      <c r="L228" s="137"/>
      <c r="M228" s="208" t="s">
        <v>180</v>
      </c>
      <c r="N228" s="209" t="s">
        <v>513</v>
      </c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212" t="s">
        <v>263</v>
      </c>
      <c r="AT228" s="212" t="s">
        <v>560</v>
      </c>
      <c r="AU228" s="212" t="s">
        <v>260</v>
      </c>
      <c r="AY228" s="127" t="s">
        <v>558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27" t="s">
        <v>254</v>
      </c>
      <c r="BK228" s="213">
        <f>ROUND(I228*H228,2)</f>
        <v>0</v>
      </c>
      <c r="BL228" s="127" t="s">
        <v>263</v>
      </c>
      <c r="BM228" s="212" t="s">
        <v>721</v>
      </c>
    </row>
    <row r="229" spans="2:65" s="136" customFormat="1" x14ac:dyDescent="0.25">
      <c r="B229" s="137"/>
      <c r="D229" s="219" t="s">
        <v>1196</v>
      </c>
      <c r="F229" s="351" t="s">
        <v>720</v>
      </c>
      <c r="I229" s="215"/>
      <c r="L229" s="137"/>
      <c r="M229" s="216"/>
      <c r="T229" s="146"/>
      <c r="AT229" s="127" t="s">
        <v>1196</v>
      </c>
      <c r="AU229" s="127" t="s">
        <v>260</v>
      </c>
    </row>
    <row r="230" spans="2:65" s="136" customFormat="1" x14ac:dyDescent="0.25">
      <c r="B230" s="137"/>
      <c r="D230" s="214" t="s">
        <v>565</v>
      </c>
      <c r="F230" s="288" t="s">
        <v>722</v>
      </c>
      <c r="I230" s="215"/>
      <c r="L230" s="137"/>
      <c r="M230" s="216"/>
      <c r="T230" s="146"/>
      <c r="AT230" s="127" t="s">
        <v>565</v>
      </c>
      <c r="AU230" s="127" t="s">
        <v>260</v>
      </c>
    </row>
    <row r="231" spans="2:65" s="217" customFormat="1" x14ac:dyDescent="0.25">
      <c r="B231" s="218"/>
      <c r="D231" s="219" t="s">
        <v>567</v>
      </c>
      <c r="E231" s="220" t="s">
        <v>180</v>
      </c>
      <c r="F231" s="221" t="s">
        <v>723</v>
      </c>
      <c r="H231" s="222">
        <v>647</v>
      </c>
      <c r="I231" s="223"/>
      <c r="L231" s="218"/>
      <c r="M231" s="224"/>
      <c r="T231" s="225"/>
      <c r="AT231" s="220" t="s">
        <v>567</v>
      </c>
      <c r="AU231" s="220" t="s">
        <v>260</v>
      </c>
      <c r="AV231" s="217" t="s">
        <v>260</v>
      </c>
      <c r="AW231" s="217" t="s">
        <v>506</v>
      </c>
      <c r="AX231" s="217" t="s">
        <v>254</v>
      </c>
      <c r="AY231" s="220" t="s">
        <v>558</v>
      </c>
    </row>
    <row r="232" spans="2:65" s="136" customFormat="1" ht="16.5" customHeight="1" x14ac:dyDescent="0.25">
      <c r="B232" s="137"/>
      <c r="C232" s="201" t="s">
        <v>313</v>
      </c>
      <c r="D232" s="201" t="s">
        <v>560</v>
      </c>
      <c r="E232" s="202" t="s">
        <v>724</v>
      </c>
      <c r="F232" s="203" t="s">
        <v>1226</v>
      </c>
      <c r="G232" s="204" t="s">
        <v>255</v>
      </c>
      <c r="H232" s="205">
        <v>647</v>
      </c>
      <c r="I232" s="206"/>
      <c r="J232" s="207">
        <f>ROUND(I232*H232,2)</f>
        <v>0</v>
      </c>
      <c r="K232" s="203" t="s">
        <v>563</v>
      </c>
      <c r="L232" s="137"/>
      <c r="M232" s="208" t="s">
        <v>180</v>
      </c>
      <c r="N232" s="209" t="s">
        <v>513</v>
      </c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212" t="s">
        <v>263</v>
      </c>
      <c r="AT232" s="212" t="s">
        <v>560</v>
      </c>
      <c r="AU232" s="212" t="s">
        <v>260</v>
      </c>
      <c r="AY232" s="127" t="s">
        <v>558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27" t="s">
        <v>254</v>
      </c>
      <c r="BK232" s="213">
        <f>ROUND(I232*H232,2)</f>
        <v>0</v>
      </c>
      <c r="BL232" s="127" t="s">
        <v>263</v>
      </c>
      <c r="BM232" s="212" t="s">
        <v>726</v>
      </c>
    </row>
    <row r="233" spans="2:65" s="136" customFormat="1" x14ac:dyDescent="0.25">
      <c r="B233" s="137"/>
      <c r="D233" s="219" t="s">
        <v>1196</v>
      </c>
      <c r="F233" s="351" t="s">
        <v>725</v>
      </c>
      <c r="I233" s="215"/>
      <c r="L233" s="137"/>
      <c r="M233" s="216"/>
      <c r="T233" s="146"/>
      <c r="AT233" s="127" t="s">
        <v>1196</v>
      </c>
      <c r="AU233" s="127" t="s">
        <v>260</v>
      </c>
    </row>
    <row r="234" spans="2:65" s="136" customFormat="1" x14ac:dyDescent="0.25">
      <c r="B234" s="137"/>
      <c r="D234" s="214" t="s">
        <v>565</v>
      </c>
      <c r="F234" s="288" t="s">
        <v>727</v>
      </c>
      <c r="I234" s="215"/>
      <c r="L234" s="137"/>
      <c r="M234" s="216"/>
      <c r="T234" s="146"/>
      <c r="AT234" s="127" t="s">
        <v>565</v>
      </c>
      <c r="AU234" s="127" t="s">
        <v>260</v>
      </c>
    </row>
    <row r="235" spans="2:65" s="217" customFormat="1" x14ac:dyDescent="0.25">
      <c r="B235" s="218"/>
      <c r="D235" s="219" t="s">
        <v>567</v>
      </c>
      <c r="E235" s="220" t="s">
        <v>180</v>
      </c>
      <c r="F235" s="221" t="s">
        <v>728</v>
      </c>
      <c r="H235" s="222">
        <v>647</v>
      </c>
      <c r="I235" s="223"/>
      <c r="L235" s="218"/>
      <c r="M235" s="224"/>
      <c r="T235" s="225"/>
      <c r="AT235" s="220" t="s">
        <v>567</v>
      </c>
      <c r="AU235" s="220" t="s">
        <v>260</v>
      </c>
      <c r="AV235" s="217" t="s">
        <v>260</v>
      </c>
      <c r="AW235" s="217" t="s">
        <v>506</v>
      </c>
      <c r="AX235" s="217" t="s">
        <v>254</v>
      </c>
      <c r="AY235" s="220" t="s">
        <v>558</v>
      </c>
    </row>
    <row r="236" spans="2:65" s="136" customFormat="1" ht="16.5" customHeight="1" x14ac:dyDescent="0.25">
      <c r="B236" s="137"/>
      <c r="C236" s="201" t="s">
        <v>314</v>
      </c>
      <c r="D236" s="201" t="s">
        <v>560</v>
      </c>
      <c r="E236" s="202" t="s">
        <v>729</v>
      </c>
      <c r="F236" s="203" t="s">
        <v>1227</v>
      </c>
      <c r="G236" s="204" t="s">
        <v>255</v>
      </c>
      <c r="H236" s="205">
        <v>75</v>
      </c>
      <c r="I236" s="206"/>
      <c r="J236" s="207">
        <f>ROUND(I236*H236,2)</f>
        <v>0</v>
      </c>
      <c r="K236" s="203" t="s">
        <v>563</v>
      </c>
      <c r="L236" s="137"/>
      <c r="M236" s="208" t="s">
        <v>180</v>
      </c>
      <c r="N236" s="209" t="s">
        <v>513</v>
      </c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AR236" s="212" t="s">
        <v>263</v>
      </c>
      <c r="AT236" s="212" t="s">
        <v>560</v>
      </c>
      <c r="AU236" s="212" t="s">
        <v>260</v>
      </c>
      <c r="AY236" s="127" t="s">
        <v>558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27" t="s">
        <v>254</v>
      </c>
      <c r="BK236" s="213">
        <f>ROUND(I236*H236,2)</f>
        <v>0</v>
      </c>
      <c r="BL236" s="127" t="s">
        <v>263</v>
      </c>
      <c r="BM236" s="212" t="s">
        <v>731</v>
      </c>
    </row>
    <row r="237" spans="2:65" s="136" customFormat="1" x14ac:dyDescent="0.25">
      <c r="B237" s="137"/>
      <c r="D237" s="219" t="s">
        <v>1196</v>
      </c>
      <c r="F237" s="351" t="s">
        <v>730</v>
      </c>
      <c r="I237" s="215"/>
      <c r="L237" s="137"/>
      <c r="M237" s="216"/>
      <c r="T237" s="146"/>
      <c r="AT237" s="127" t="s">
        <v>1196</v>
      </c>
      <c r="AU237" s="127" t="s">
        <v>260</v>
      </c>
    </row>
    <row r="238" spans="2:65" s="136" customFormat="1" x14ac:dyDescent="0.25">
      <c r="B238" s="137"/>
      <c r="D238" s="214" t="s">
        <v>565</v>
      </c>
      <c r="F238" s="288" t="s">
        <v>732</v>
      </c>
      <c r="I238" s="215"/>
      <c r="L238" s="137"/>
      <c r="M238" s="216"/>
      <c r="T238" s="146"/>
      <c r="AT238" s="127" t="s">
        <v>565</v>
      </c>
      <c r="AU238" s="127" t="s">
        <v>260</v>
      </c>
    </row>
    <row r="239" spans="2:65" s="217" customFormat="1" x14ac:dyDescent="0.25">
      <c r="B239" s="218"/>
      <c r="D239" s="219" t="s">
        <v>567</v>
      </c>
      <c r="E239" s="220" t="s">
        <v>180</v>
      </c>
      <c r="F239" s="221" t="s">
        <v>733</v>
      </c>
      <c r="H239" s="222">
        <v>75</v>
      </c>
      <c r="I239" s="223"/>
      <c r="L239" s="218"/>
      <c r="M239" s="224"/>
      <c r="T239" s="225"/>
      <c r="AT239" s="220" t="s">
        <v>567</v>
      </c>
      <c r="AU239" s="220" t="s">
        <v>260</v>
      </c>
      <c r="AV239" s="217" t="s">
        <v>260</v>
      </c>
      <c r="AW239" s="217" t="s">
        <v>506</v>
      </c>
      <c r="AX239" s="217" t="s">
        <v>254</v>
      </c>
      <c r="AY239" s="220" t="s">
        <v>558</v>
      </c>
    </row>
    <row r="240" spans="2:65" s="136" customFormat="1" ht="16.5" customHeight="1" x14ac:dyDescent="0.25">
      <c r="B240" s="137"/>
      <c r="C240" s="201" t="s">
        <v>315</v>
      </c>
      <c r="D240" s="201" t="s">
        <v>560</v>
      </c>
      <c r="E240" s="202" t="s">
        <v>734</v>
      </c>
      <c r="F240" s="203" t="s">
        <v>1228</v>
      </c>
      <c r="G240" s="204" t="s">
        <v>255</v>
      </c>
      <c r="H240" s="205">
        <v>647</v>
      </c>
      <c r="I240" s="206"/>
      <c r="J240" s="207">
        <f>ROUND(I240*H240,2)</f>
        <v>0</v>
      </c>
      <c r="K240" s="203" t="s">
        <v>563</v>
      </c>
      <c r="L240" s="137"/>
      <c r="M240" s="208" t="s">
        <v>180</v>
      </c>
      <c r="N240" s="209" t="s">
        <v>513</v>
      </c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AR240" s="212" t="s">
        <v>263</v>
      </c>
      <c r="AT240" s="212" t="s">
        <v>560</v>
      </c>
      <c r="AU240" s="212" t="s">
        <v>260</v>
      </c>
      <c r="AY240" s="127" t="s">
        <v>558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27" t="s">
        <v>254</v>
      </c>
      <c r="BK240" s="213">
        <f>ROUND(I240*H240,2)</f>
        <v>0</v>
      </c>
      <c r="BL240" s="127" t="s">
        <v>263</v>
      </c>
      <c r="BM240" s="212" t="s">
        <v>736</v>
      </c>
    </row>
    <row r="241" spans="2:65" s="136" customFormat="1" x14ac:dyDescent="0.25">
      <c r="B241" s="137"/>
      <c r="D241" s="219" t="s">
        <v>1196</v>
      </c>
      <c r="F241" s="351" t="s">
        <v>735</v>
      </c>
      <c r="I241" s="215"/>
      <c r="L241" s="137"/>
      <c r="M241" s="216"/>
      <c r="T241" s="146"/>
      <c r="AT241" s="127" t="s">
        <v>1196</v>
      </c>
      <c r="AU241" s="127" t="s">
        <v>260</v>
      </c>
    </row>
    <row r="242" spans="2:65" s="136" customFormat="1" x14ac:dyDescent="0.25">
      <c r="B242" s="137"/>
      <c r="D242" s="214" t="s">
        <v>565</v>
      </c>
      <c r="F242" s="288" t="s">
        <v>737</v>
      </c>
      <c r="I242" s="215"/>
      <c r="L242" s="137"/>
      <c r="M242" s="216"/>
      <c r="T242" s="146"/>
      <c r="AT242" s="127" t="s">
        <v>565</v>
      </c>
      <c r="AU242" s="127" t="s">
        <v>260</v>
      </c>
    </row>
    <row r="243" spans="2:65" s="217" customFormat="1" x14ac:dyDescent="0.25">
      <c r="B243" s="218"/>
      <c r="D243" s="219" t="s">
        <v>567</v>
      </c>
      <c r="E243" s="220" t="s">
        <v>180</v>
      </c>
      <c r="F243" s="221" t="s">
        <v>738</v>
      </c>
      <c r="H243" s="222">
        <v>647</v>
      </c>
      <c r="I243" s="223"/>
      <c r="L243" s="218"/>
      <c r="M243" s="224"/>
      <c r="T243" s="225"/>
      <c r="AT243" s="220" t="s">
        <v>567</v>
      </c>
      <c r="AU243" s="220" t="s">
        <v>260</v>
      </c>
      <c r="AV243" s="217" t="s">
        <v>260</v>
      </c>
      <c r="AW243" s="217" t="s">
        <v>506</v>
      </c>
      <c r="AX243" s="217" t="s">
        <v>254</v>
      </c>
      <c r="AY243" s="220" t="s">
        <v>558</v>
      </c>
    </row>
    <row r="244" spans="2:65" s="136" customFormat="1" ht="16.5" customHeight="1" x14ac:dyDescent="0.25">
      <c r="B244" s="137"/>
      <c r="C244" s="201" t="s">
        <v>317</v>
      </c>
      <c r="D244" s="201" t="s">
        <v>560</v>
      </c>
      <c r="E244" s="202" t="s">
        <v>739</v>
      </c>
      <c r="F244" s="203" t="s">
        <v>1229</v>
      </c>
      <c r="G244" s="204" t="s">
        <v>255</v>
      </c>
      <c r="H244" s="205">
        <v>75</v>
      </c>
      <c r="I244" s="206"/>
      <c r="J244" s="207">
        <f>ROUND(I244*H244,2)</f>
        <v>0</v>
      </c>
      <c r="K244" s="203" t="s">
        <v>563</v>
      </c>
      <c r="L244" s="137"/>
      <c r="M244" s="208" t="s">
        <v>180</v>
      </c>
      <c r="N244" s="209" t="s">
        <v>513</v>
      </c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AR244" s="212" t="s">
        <v>263</v>
      </c>
      <c r="AT244" s="212" t="s">
        <v>560</v>
      </c>
      <c r="AU244" s="212" t="s">
        <v>260</v>
      </c>
      <c r="AY244" s="127" t="s">
        <v>558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27" t="s">
        <v>254</v>
      </c>
      <c r="BK244" s="213">
        <f>ROUND(I244*H244,2)</f>
        <v>0</v>
      </c>
      <c r="BL244" s="127" t="s">
        <v>263</v>
      </c>
      <c r="BM244" s="212" t="s">
        <v>741</v>
      </c>
    </row>
    <row r="245" spans="2:65" s="136" customFormat="1" x14ac:dyDescent="0.25">
      <c r="B245" s="137"/>
      <c r="D245" s="219" t="s">
        <v>1196</v>
      </c>
      <c r="F245" s="351" t="s">
        <v>740</v>
      </c>
      <c r="I245" s="215"/>
      <c r="L245" s="137"/>
      <c r="M245" s="216"/>
      <c r="T245" s="146"/>
      <c r="AT245" s="127" t="s">
        <v>1196</v>
      </c>
      <c r="AU245" s="127" t="s">
        <v>260</v>
      </c>
    </row>
    <row r="246" spans="2:65" s="136" customFormat="1" x14ac:dyDescent="0.25">
      <c r="B246" s="137"/>
      <c r="D246" s="214" t="s">
        <v>565</v>
      </c>
      <c r="F246" s="288" t="s">
        <v>742</v>
      </c>
      <c r="I246" s="215"/>
      <c r="L246" s="137"/>
      <c r="M246" s="216"/>
      <c r="T246" s="146"/>
      <c r="AT246" s="127" t="s">
        <v>565</v>
      </c>
      <c r="AU246" s="127" t="s">
        <v>260</v>
      </c>
    </row>
    <row r="247" spans="2:65" s="217" customFormat="1" x14ac:dyDescent="0.25">
      <c r="B247" s="218"/>
      <c r="D247" s="219" t="s">
        <v>567</v>
      </c>
      <c r="E247" s="220" t="s">
        <v>180</v>
      </c>
      <c r="F247" s="221" t="s">
        <v>733</v>
      </c>
      <c r="H247" s="222">
        <v>75</v>
      </c>
      <c r="I247" s="223"/>
      <c r="L247" s="218"/>
      <c r="M247" s="224"/>
      <c r="T247" s="225"/>
      <c r="AT247" s="220" t="s">
        <v>567</v>
      </c>
      <c r="AU247" s="220" t="s">
        <v>260</v>
      </c>
      <c r="AV247" s="217" t="s">
        <v>260</v>
      </c>
      <c r="AW247" s="217" t="s">
        <v>506</v>
      </c>
      <c r="AX247" s="217" t="s">
        <v>254</v>
      </c>
      <c r="AY247" s="220" t="s">
        <v>558</v>
      </c>
    </row>
    <row r="248" spans="2:65" s="136" customFormat="1" ht="16.5" customHeight="1" x14ac:dyDescent="0.25">
      <c r="B248" s="137"/>
      <c r="C248" s="201" t="s">
        <v>318</v>
      </c>
      <c r="D248" s="201" t="s">
        <v>560</v>
      </c>
      <c r="E248" s="202" t="s">
        <v>743</v>
      </c>
      <c r="F248" s="203" t="s">
        <v>1230</v>
      </c>
      <c r="G248" s="204" t="s">
        <v>255</v>
      </c>
      <c r="H248" s="205">
        <v>75</v>
      </c>
      <c r="I248" s="206"/>
      <c r="J248" s="207">
        <f>ROUND(I248*H248,2)</f>
        <v>0</v>
      </c>
      <c r="K248" s="203" t="s">
        <v>563</v>
      </c>
      <c r="L248" s="137"/>
      <c r="M248" s="208" t="s">
        <v>180</v>
      </c>
      <c r="N248" s="209" t="s">
        <v>513</v>
      </c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AR248" s="212" t="s">
        <v>263</v>
      </c>
      <c r="AT248" s="212" t="s">
        <v>560</v>
      </c>
      <c r="AU248" s="212" t="s">
        <v>260</v>
      </c>
      <c r="AY248" s="127" t="s">
        <v>558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27" t="s">
        <v>254</v>
      </c>
      <c r="BK248" s="213">
        <f>ROUND(I248*H248,2)</f>
        <v>0</v>
      </c>
      <c r="BL248" s="127" t="s">
        <v>263</v>
      </c>
      <c r="BM248" s="212" t="s">
        <v>745</v>
      </c>
    </row>
    <row r="249" spans="2:65" s="136" customFormat="1" x14ac:dyDescent="0.25">
      <c r="B249" s="137"/>
      <c r="D249" s="219" t="s">
        <v>1196</v>
      </c>
      <c r="F249" s="351" t="s">
        <v>744</v>
      </c>
      <c r="I249" s="215"/>
      <c r="L249" s="137"/>
      <c r="M249" s="216"/>
      <c r="T249" s="146"/>
      <c r="AT249" s="127" t="s">
        <v>1196</v>
      </c>
      <c r="AU249" s="127" t="s">
        <v>260</v>
      </c>
    </row>
    <row r="250" spans="2:65" s="136" customFormat="1" x14ac:dyDescent="0.25">
      <c r="B250" s="137"/>
      <c r="D250" s="214" t="s">
        <v>565</v>
      </c>
      <c r="F250" s="288" t="s">
        <v>746</v>
      </c>
      <c r="I250" s="215"/>
      <c r="L250" s="137"/>
      <c r="M250" s="216"/>
      <c r="T250" s="146"/>
      <c r="AT250" s="127" t="s">
        <v>565</v>
      </c>
      <c r="AU250" s="127" t="s">
        <v>260</v>
      </c>
    </row>
    <row r="251" spans="2:65" s="217" customFormat="1" x14ac:dyDescent="0.25">
      <c r="B251" s="218"/>
      <c r="D251" s="219" t="s">
        <v>567</v>
      </c>
      <c r="E251" s="220" t="s">
        <v>180</v>
      </c>
      <c r="F251" s="221" t="s">
        <v>733</v>
      </c>
      <c r="H251" s="222">
        <v>75</v>
      </c>
      <c r="I251" s="223"/>
      <c r="L251" s="218"/>
      <c r="M251" s="224"/>
      <c r="T251" s="225"/>
      <c r="AT251" s="220" t="s">
        <v>567</v>
      </c>
      <c r="AU251" s="220" t="s">
        <v>260</v>
      </c>
      <c r="AV251" s="217" t="s">
        <v>260</v>
      </c>
      <c r="AW251" s="217" t="s">
        <v>506</v>
      </c>
      <c r="AX251" s="217" t="s">
        <v>254</v>
      </c>
      <c r="AY251" s="220" t="s">
        <v>558</v>
      </c>
    </row>
    <row r="252" spans="2:65" s="136" customFormat="1" ht="24.2" customHeight="1" x14ac:dyDescent="0.25">
      <c r="B252" s="137"/>
      <c r="C252" s="201" t="s">
        <v>321</v>
      </c>
      <c r="D252" s="201" t="s">
        <v>560</v>
      </c>
      <c r="E252" s="202" t="s">
        <v>747</v>
      </c>
      <c r="F252" s="203" t="s">
        <v>748</v>
      </c>
      <c r="G252" s="204" t="s">
        <v>255</v>
      </c>
      <c r="H252" s="205">
        <v>75</v>
      </c>
      <c r="I252" s="206"/>
      <c r="J252" s="207">
        <f>ROUND(I252*H252,2)</f>
        <v>0</v>
      </c>
      <c r="K252" s="203" t="s">
        <v>180</v>
      </c>
      <c r="L252" s="137"/>
      <c r="M252" s="208" t="s">
        <v>180</v>
      </c>
      <c r="N252" s="209" t="s">
        <v>513</v>
      </c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AR252" s="212" t="s">
        <v>263</v>
      </c>
      <c r="AT252" s="212" t="s">
        <v>560</v>
      </c>
      <c r="AU252" s="212" t="s">
        <v>260</v>
      </c>
      <c r="AY252" s="127" t="s">
        <v>558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27" t="s">
        <v>254</v>
      </c>
      <c r="BK252" s="213">
        <f>ROUND(I252*H252,2)</f>
        <v>0</v>
      </c>
      <c r="BL252" s="127" t="s">
        <v>263</v>
      </c>
      <c r="BM252" s="212" t="s">
        <v>749</v>
      </c>
    </row>
    <row r="253" spans="2:65" s="136" customFormat="1" x14ac:dyDescent="0.25">
      <c r="B253" s="137"/>
      <c r="D253" s="219" t="s">
        <v>1196</v>
      </c>
      <c r="F253" s="351" t="s">
        <v>748</v>
      </c>
      <c r="I253" s="215"/>
      <c r="L253" s="137"/>
      <c r="M253" s="216"/>
      <c r="T253" s="146"/>
      <c r="AT253" s="127" t="s">
        <v>1196</v>
      </c>
      <c r="AU253" s="127" t="s">
        <v>260</v>
      </c>
    </row>
    <row r="254" spans="2:65" s="217" customFormat="1" x14ac:dyDescent="0.25">
      <c r="B254" s="218"/>
      <c r="D254" s="219" t="s">
        <v>567</v>
      </c>
      <c r="E254" s="220" t="s">
        <v>180</v>
      </c>
      <c r="F254" s="221" t="s">
        <v>733</v>
      </c>
      <c r="H254" s="222">
        <v>75</v>
      </c>
      <c r="I254" s="223"/>
      <c r="L254" s="218"/>
      <c r="M254" s="224"/>
      <c r="T254" s="225"/>
      <c r="AT254" s="220" t="s">
        <v>567</v>
      </c>
      <c r="AU254" s="220" t="s">
        <v>260</v>
      </c>
      <c r="AV254" s="217" t="s">
        <v>260</v>
      </c>
      <c r="AW254" s="217" t="s">
        <v>506</v>
      </c>
      <c r="AX254" s="217" t="s">
        <v>254</v>
      </c>
      <c r="AY254" s="220" t="s">
        <v>558</v>
      </c>
    </row>
    <row r="255" spans="2:65" s="136" customFormat="1" ht="24.2" customHeight="1" x14ac:dyDescent="0.25">
      <c r="B255" s="137"/>
      <c r="C255" s="201" t="s">
        <v>322</v>
      </c>
      <c r="D255" s="201" t="s">
        <v>560</v>
      </c>
      <c r="E255" s="202" t="s">
        <v>750</v>
      </c>
      <c r="F255" s="203" t="s">
        <v>751</v>
      </c>
      <c r="G255" s="204" t="s">
        <v>255</v>
      </c>
      <c r="H255" s="205">
        <v>75</v>
      </c>
      <c r="I255" s="206"/>
      <c r="J255" s="207">
        <f>ROUND(I255*H255,2)</f>
        <v>0</v>
      </c>
      <c r="K255" s="203" t="s">
        <v>180</v>
      </c>
      <c r="L255" s="137"/>
      <c r="M255" s="208" t="s">
        <v>180</v>
      </c>
      <c r="N255" s="209" t="s">
        <v>513</v>
      </c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AR255" s="212" t="s">
        <v>263</v>
      </c>
      <c r="AT255" s="212" t="s">
        <v>560</v>
      </c>
      <c r="AU255" s="212" t="s">
        <v>260</v>
      </c>
      <c r="AY255" s="127" t="s">
        <v>558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27" t="s">
        <v>254</v>
      </c>
      <c r="BK255" s="213">
        <f>ROUND(I255*H255,2)</f>
        <v>0</v>
      </c>
      <c r="BL255" s="127" t="s">
        <v>263</v>
      </c>
      <c r="BM255" s="212" t="s">
        <v>752</v>
      </c>
    </row>
    <row r="256" spans="2:65" s="136" customFormat="1" x14ac:dyDescent="0.25">
      <c r="B256" s="137"/>
      <c r="D256" s="219" t="s">
        <v>1196</v>
      </c>
      <c r="F256" s="351" t="s">
        <v>751</v>
      </c>
      <c r="I256" s="215"/>
      <c r="L256" s="137"/>
      <c r="M256" s="216"/>
      <c r="T256" s="146"/>
      <c r="AT256" s="127" t="s">
        <v>1196</v>
      </c>
      <c r="AU256" s="127" t="s">
        <v>260</v>
      </c>
    </row>
    <row r="257" spans="2:65" s="217" customFormat="1" x14ac:dyDescent="0.25">
      <c r="B257" s="218"/>
      <c r="D257" s="219" t="s">
        <v>567</v>
      </c>
      <c r="E257" s="220" t="s">
        <v>180</v>
      </c>
      <c r="F257" s="221" t="s">
        <v>733</v>
      </c>
      <c r="H257" s="222">
        <v>75</v>
      </c>
      <c r="I257" s="223"/>
      <c r="L257" s="218"/>
      <c r="M257" s="224"/>
      <c r="T257" s="225"/>
      <c r="AT257" s="220" t="s">
        <v>567</v>
      </c>
      <c r="AU257" s="220" t="s">
        <v>260</v>
      </c>
      <c r="AV257" s="217" t="s">
        <v>260</v>
      </c>
      <c r="AW257" s="217" t="s">
        <v>506</v>
      </c>
      <c r="AX257" s="217" t="s">
        <v>254</v>
      </c>
      <c r="AY257" s="220" t="s">
        <v>558</v>
      </c>
    </row>
    <row r="258" spans="2:65" s="136" customFormat="1" ht="16.5" customHeight="1" x14ac:dyDescent="0.25">
      <c r="B258" s="137"/>
      <c r="C258" s="201" t="s">
        <v>323</v>
      </c>
      <c r="D258" s="201" t="s">
        <v>560</v>
      </c>
      <c r="E258" s="202" t="s">
        <v>753</v>
      </c>
      <c r="F258" s="203" t="s">
        <v>1231</v>
      </c>
      <c r="G258" s="204" t="s">
        <v>255</v>
      </c>
      <c r="H258" s="205">
        <v>590</v>
      </c>
      <c r="I258" s="206"/>
      <c r="J258" s="207">
        <f>ROUND(I258*H258,2)</f>
        <v>0</v>
      </c>
      <c r="K258" s="203" t="s">
        <v>563</v>
      </c>
      <c r="L258" s="137"/>
      <c r="M258" s="208" t="s">
        <v>180</v>
      </c>
      <c r="N258" s="209" t="s">
        <v>513</v>
      </c>
      <c r="P258" s="210">
        <f>O258*H258</f>
        <v>0</v>
      </c>
      <c r="Q258" s="210">
        <v>0.1837</v>
      </c>
      <c r="R258" s="210">
        <f>Q258*H258</f>
        <v>108.383</v>
      </c>
      <c r="S258" s="210">
        <v>0</v>
      </c>
      <c r="T258" s="211">
        <f>S258*H258</f>
        <v>0</v>
      </c>
      <c r="AR258" s="212" t="s">
        <v>263</v>
      </c>
      <c r="AT258" s="212" t="s">
        <v>560</v>
      </c>
      <c r="AU258" s="212" t="s">
        <v>260</v>
      </c>
      <c r="AY258" s="127" t="s">
        <v>558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27" t="s">
        <v>254</v>
      </c>
      <c r="BK258" s="213">
        <f>ROUND(I258*H258,2)</f>
        <v>0</v>
      </c>
      <c r="BL258" s="127" t="s">
        <v>263</v>
      </c>
      <c r="BM258" s="212" t="s">
        <v>755</v>
      </c>
    </row>
    <row r="259" spans="2:65" s="136" customFormat="1" ht="19.5" x14ac:dyDescent="0.25">
      <c r="B259" s="137"/>
      <c r="D259" s="219" t="s">
        <v>1196</v>
      </c>
      <c r="F259" s="351" t="s">
        <v>754</v>
      </c>
      <c r="I259" s="215"/>
      <c r="L259" s="137"/>
      <c r="M259" s="216"/>
      <c r="T259" s="146"/>
      <c r="AT259" s="127" t="s">
        <v>1196</v>
      </c>
      <c r="AU259" s="127" t="s">
        <v>260</v>
      </c>
    </row>
    <row r="260" spans="2:65" s="136" customFormat="1" x14ac:dyDescent="0.25">
      <c r="B260" s="137"/>
      <c r="D260" s="214" t="s">
        <v>565</v>
      </c>
      <c r="F260" s="288" t="s">
        <v>756</v>
      </c>
      <c r="I260" s="215"/>
      <c r="L260" s="137"/>
      <c r="M260" s="216"/>
      <c r="T260" s="146"/>
      <c r="AT260" s="127" t="s">
        <v>565</v>
      </c>
      <c r="AU260" s="127" t="s">
        <v>260</v>
      </c>
    </row>
    <row r="261" spans="2:65" s="234" customFormat="1" x14ac:dyDescent="0.25">
      <c r="B261" s="235"/>
      <c r="D261" s="219" t="s">
        <v>567</v>
      </c>
      <c r="E261" s="236" t="s">
        <v>180</v>
      </c>
      <c r="F261" s="237" t="s">
        <v>757</v>
      </c>
      <c r="H261" s="236" t="s">
        <v>180</v>
      </c>
      <c r="I261" s="238"/>
      <c r="L261" s="235"/>
      <c r="M261" s="239"/>
      <c r="T261" s="240"/>
      <c r="AT261" s="236" t="s">
        <v>567</v>
      </c>
      <c r="AU261" s="236" t="s">
        <v>260</v>
      </c>
      <c r="AV261" s="234" t="s">
        <v>254</v>
      </c>
      <c r="AW261" s="234" t="s">
        <v>506</v>
      </c>
      <c r="AX261" s="234" t="s">
        <v>295</v>
      </c>
      <c r="AY261" s="236" t="s">
        <v>558</v>
      </c>
    </row>
    <row r="262" spans="2:65" s="217" customFormat="1" x14ac:dyDescent="0.25">
      <c r="B262" s="218"/>
      <c r="D262" s="219" t="s">
        <v>567</v>
      </c>
      <c r="E262" s="220" t="s">
        <v>180</v>
      </c>
      <c r="F262" s="221" t="s">
        <v>1232</v>
      </c>
      <c r="H262" s="222">
        <v>590</v>
      </c>
      <c r="I262" s="223"/>
      <c r="L262" s="218"/>
      <c r="M262" s="224"/>
      <c r="T262" s="225"/>
      <c r="AT262" s="220" t="s">
        <v>567</v>
      </c>
      <c r="AU262" s="220" t="s">
        <v>260</v>
      </c>
      <c r="AV262" s="217" t="s">
        <v>260</v>
      </c>
      <c r="AW262" s="217" t="s">
        <v>506</v>
      </c>
      <c r="AX262" s="217" t="s">
        <v>254</v>
      </c>
      <c r="AY262" s="220" t="s">
        <v>558</v>
      </c>
    </row>
    <row r="263" spans="2:65" s="136" customFormat="1" ht="16.5" customHeight="1" x14ac:dyDescent="0.25">
      <c r="B263" s="137"/>
      <c r="C263" s="241" t="s">
        <v>324</v>
      </c>
      <c r="D263" s="241" t="s">
        <v>678</v>
      </c>
      <c r="E263" s="242" t="s">
        <v>758</v>
      </c>
      <c r="F263" s="243" t="s">
        <v>759</v>
      </c>
      <c r="G263" s="244" t="s">
        <v>255</v>
      </c>
      <c r="H263" s="245">
        <v>601.79999999999995</v>
      </c>
      <c r="I263" s="246"/>
      <c r="J263" s="247">
        <f>ROUND(I263*H263,2)</f>
        <v>0</v>
      </c>
      <c r="K263" s="243" t="s">
        <v>563</v>
      </c>
      <c r="L263" s="248"/>
      <c r="M263" s="249" t="s">
        <v>180</v>
      </c>
      <c r="N263" s="250" t="s">
        <v>513</v>
      </c>
      <c r="P263" s="210">
        <f>O263*H263</f>
        <v>0</v>
      </c>
      <c r="Q263" s="210">
        <v>0.22800000000000001</v>
      </c>
      <c r="R263" s="210">
        <f>Q263*H263</f>
        <v>137.21039999999999</v>
      </c>
      <c r="S263" s="210">
        <v>0</v>
      </c>
      <c r="T263" s="211">
        <f>S263*H263</f>
        <v>0</v>
      </c>
      <c r="AR263" s="212" t="s">
        <v>267</v>
      </c>
      <c r="AT263" s="212" t="s">
        <v>678</v>
      </c>
      <c r="AU263" s="212" t="s">
        <v>260</v>
      </c>
      <c r="AY263" s="127" t="s">
        <v>558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27" t="s">
        <v>254</v>
      </c>
      <c r="BK263" s="213">
        <f>ROUND(I263*H263,2)</f>
        <v>0</v>
      </c>
      <c r="BL263" s="127" t="s">
        <v>263</v>
      </c>
      <c r="BM263" s="212" t="s">
        <v>760</v>
      </c>
    </row>
    <row r="264" spans="2:65" s="136" customFormat="1" x14ac:dyDescent="0.25">
      <c r="B264" s="137"/>
      <c r="D264" s="219" t="s">
        <v>1196</v>
      </c>
      <c r="F264" s="351" t="s">
        <v>759</v>
      </c>
      <c r="I264" s="215"/>
      <c r="L264" s="137"/>
      <c r="M264" s="216"/>
      <c r="T264" s="146"/>
      <c r="AT264" s="127" t="s">
        <v>1196</v>
      </c>
      <c r="AU264" s="127" t="s">
        <v>260</v>
      </c>
    </row>
    <row r="265" spans="2:65" s="217" customFormat="1" x14ac:dyDescent="0.25">
      <c r="B265" s="218"/>
      <c r="D265" s="219" t="s">
        <v>567</v>
      </c>
      <c r="F265" s="221" t="s">
        <v>761</v>
      </c>
      <c r="H265" s="222">
        <v>601.79999999999995</v>
      </c>
      <c r="I265" s="223"/>
      <c r="L265" s="218"/>
      <c r="M265" s="224"/>
      <c r="T265" s="225"/>
      <c r="AT265" s="220" t="s">
        <v>567</v>
      </c>
      <c r="AU265" s="220" t="s">
        <v>260</v>
      </c>
      <c r="AV265" s="217" t="s">
        <v>260</v>
      </c>
      <c r="AW265" s="217" t="s">
        <v>496</v>
      </c>
      <c r="AX265" s="217" t="s">
        <v>254</v>
      </c>
      <c r="AY265" s="220" t="s">
        <v>558</v>
      </c>
    </row>
    <row r="266" spans="2:65" s="136" customFormat="1" ht="16.5" customHeight="1" x14ac:dyDescent="0.25">
      <c r="B266" s="137"/>
      <c r="C266" s="201" t="s">
        <v>325</v>
      </c>
      <c r="D266" s="201" t="s">
        <v>560</v>
      </c>
      <c r="E266" s="202" t="s">
        <v>762</v>
      </c>
      <c r="F266" s="203" t="s">
        <v>1231</v>
      </c>
      <c r="G266" s="204" t="s">
        <v>255</v>
      </c>
      <c r="H266" s="205">
        <v>459</v>
      </c>
      <c r="I266" s="206"/>
      <c r="J266" s="207">
        <f>ROUND(I266*H266,2)</f>
        <v>0</v>
      </c>
      <c r="K266" s="203" t="s">
        <v>563</v>
      </c>
      <c r="L266" s="137"/>
      <c r="M266" s="208" t="s">
        <v>180</v>
      </c>
      <c r="N266" s="209" t="s">
        <v>513</v>
      </c>
      <c r="P266" s="210">
        <f>O266*H266</f>
        <v>0</v>
      </c>
      <c r="Q266" s="210">
        <v>0.1837</v>
      </c>
      <c r="R266" s="210">
        <f>Q266*H266</f>
        <v>84.318300000000008</v>
      </c>
      <c r="S266" s="210">
        <v>0</v>
      </c>
      <c r="T266" s="211">
        <f>S266*H266</f>
        <v>0</v>
      </c>
      <c r="AR266" s="212" t="s">
        <v>263</v>
      </c>
      <c r="AT266" s="212" t="s">
        <v>560</v>
      </c>
      <c r="AU266" s="212" t="s">
        <v>260</v>
      </c>
      <c r="AY266" s="127" t="s">
        <v>558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27" t="s">
        <v>254</v>
      </c>
      <c r="BK266" s="213">
        <f>ROUND(I266*H266,2)</f>
        <v>0</v>
      </c>
      <c r="BL266" s="127" t="s">
        <v>263</v>
      </c>
      <c r="BM266" s="212" t="s">
        <v>763</v>
      </c>
    </row>
    <row r="267" spans="2:65" s="136" customFormat="1" ht="19.5" x14ac:dyDescent="0.25">
      <c r="B267" s="137"/>
      <c r="D267" s="219" t="s">
        <v>1196</v>
      </c>
      <c r="F267" s="351" t="s">
        <v>754</v>
      </c>
      <c r="I267" s="215"/>
      <c r="L267" s="137"/>
      <c r="M267" s="216"/>
      <c r="T267" s="146"/>
      <c r="AT267" s="127" t="s">
        <v>1196</v>
      </c>
      <c r="AU267" s="127" t="s">
        <v>260</v>
      </c>
    </row>
    <row r="268" spans="2:65" s="136" customFormat="1" x14ac:dyDescent="0.25">
      <c r="B268" s="137"/>
      <c r="D268" s="214" t="s">
        <v>565</v>
      </c>
      <c r="F268" s="288" t="s">
        <v>764</v>
      </c>
      <c r="I268" s="215"/>
      <c r="L268" s="137"/>
      <c r="M268" s="216"/>
      <c r="T268" s="146"/>
      <c r="AT268" s="127" t="s">
        <v>565</v>
      </c>
      <c r="AU268" s="127" t="s">
        <v>260</v>
      </c>
    </row>
    <row r="269" spans="2:65" s="234" customFormat="1" x14ac:dyDescent="0.25">
      <c r="B269" s="235"/>
      <c r="D269" s="219" t="s">
        <v>567</v>
      </c>
      <c r="E269" s="236" t="s">
        <v>180</v>
      </c>
      <c r="F269" s="237" t="s">
        <v>757</v>
      </c>
      <c r="H269" s="236" t="s">
        <v>180</v>
      </c>
      <c r="I269" s="238"/>
      <c r="L269" s="235"/>
      <c r="M269" s="239"/>
      <c r="T269" s="240"/>
      <c r="AT269" s="236" t="s">
        <v>567</v>
      </c>
      <c r="AU269" s="236" t="s">
        <v>260</v>
      </c>
      <c r="AV269" s="234" t="s">
        <v>254</v>
      </c>
      <c r="AW269" s="234" t="s">
        <v>506</v>
      </c>
      <c r="AX269" s="234" t="s">
        <v>295</v>
      </c>
      <c r="AY269" s="236" t="s">
        <v>558</v>
      </c>
    </row>
    <row r="270" spans="2:65" s="217" customFormat="1" x14ac:dyDescent="0.25">
      <c r="B270" s="218"/>
      <c r="D270" s="219" t="s">
        <v>567</v>
      </c>
      <c r="E270" s="220" t="s">
        <v>180</v>
      </c>
      <c r="F270" s="221" t="s">
        <v>765</v>
      </c>
      <c r="H270" s="222">
        <v>459</v>
      </c>
      <c r="I270" s="223"/>
      <c r="L270" s="218"/>
      <c r="M270" s="224"/>
      <c r="T270" s="225"/>
      <c r="AT270" s="220" t="s">
        <v>567</v>
      </c>
      <c r="AU270" s="220" t="s">
        <v>260</v>
      </c>
      <c r="AV270" s="217" t="s">
        <v>260</v>
      </c>
      <c r="AW270" s="217" t="s">
        <v>506</v>
      </c>
      <c r="AX270" s="217" t="s">
        <v>254</v>
      </c>
      <c r="AY270" s="220" t="s">
        <v>558</v>
      </c>
    </row>
    <row r="271" spans="2:65" s="136" customFormat="1" ht="16.5" customHeight="1" x14ac:dyDescent="0.25">
      <c r="B271" s="137"/>
      <c r="C271" s="241" t="s">
        <v>326</v>
      </c>
      <c r="D271" s="241" t="s">
        <v>678</v>
      </c>
      <c r="E271" s="242" t="s">
        <v>766</v>
      </c>
      <c r="F271" s="243" t="s">
        <v>767</v>
      </c>
      <c r="G271" s="244" t="s">
        <v>255</v>
      </c>
      <c r="H271" s="245">
        <v>400.35</v>
      </c>
      <c r="I271" s="246"/>
      <c r="J271" s="247">
        <f>ROUND(I271*H271,2)</f>
        <v>0</v>
      </c>
      <c r="K271" s="243" t="s">
        <v>180</v>
      </c>
      <c r="L271" s="248"/>
      <c r="M271" s="249" t="s">
        <v>180</v>
      </c>
      <c r="N271" s="250" t="s">
        <v>513</v>
      </c>
      <c r="P271" s="210">
        <f>O271*H271</f>
        <v>0</v>
      </c>
      <c r="Q271" s="210">
        <v>0.11799999999999999</v>
      </c>
      <c r="R271" s="210">
        <f>Q271*H271</f>
        <v>47.241300000000003</v>
      </c>
      <c r="S271" s="210">
        <v>0</v>
      </c>
      <c r="T271" s="211">
        <f>S271*H271</f>
        <v>0</v>
      </c>
      <c r="AR271" s="212" t="s">
        <v>267</v>
      </c>
      <c r="AT271" s="212" t="s">
        <v>678</v>
      </c>
      <c r="AU271" s="212" t="s">
        <v>260</v>
      </c>
      <c r="AY271" s="127" t="s">
        <v>558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27" t="s">
        <v>254</v>
      </c>
      <c r="BK271" s="213">
        <f>ROUND(I271*H271,2)</f>
        <v>0</v>
      </c>
      <c r="BL271" s="127" t="s">
        <v>263</v>
      </c>
      <c r="BM271" s="212" t="s">
        <v>768</v>
      </c>
    </row>
    <row r="272" spans="2:65" s="136" customFormat="1" x14ac:dyDescent="0.25">
      <c r="B272" s="137"/>
      <c r="D272" s="219" t="s">
        <v>1196</v>
      </c>
      <c r="F272" s="351" t="s">
        <v>767</v>
      </c>
      <c r="I272" s="215"/>
      <c r="L272" s="137"/>
      <c r="M272" s="216"/>
      <c r="T272" s="146"/>
      <c r="AT272" s="127" t="s">
        <v>1196</v>
      </c>
      <c r="AU272" s="127" t="s">
        <v>260</v>
      </c>
    </row>
    <row r="273" spans="2:65" s="217" customFormat="1" x14ac:dyDescent="0.25">
      <c r="B273" s="218"/>
      <c r="D273" s="219" t="s">
        <v>567</v>
      </c>
      <c r="F273" s="221" t="s">
        <v>769</v>
      </c>
      <c r="H273" s="222">
        <v>400.35</v>
      </c>
      <c r="I273" s="223"/>
      <c r="L273" s="218"/>
      <c r="M273" s="224"/>
      <c r="T273" s="225"/>
      <c r="AT273" s="220" t="s">
        <v>567</v>
      </c>
      <c r="AU273" s="220" t="s">
        <v>260</v>
      </c>
      <c r="AV273" s="217" t="s">
        <v>260</v>
      </c>
      <c r="AW273" s="217" t="s">
        <v>496</v>
      </c>
      <c r="AX273" s="217" t="s">
        <v>254</v>
      </c>
      <c r="AY273" s="220" t="s">
        <v>558</v>
      </c>
    </row>
    <row r="274" spans="2:65" s="136" customFormat="1" ht="16.5" customHeight="1" x14ac:dyDescent="0.25">
      <c r="B274" s="137"/>
      <c r="C274" s="241" t="s">
        <v>327</v>
      </c>
      <c r="D274" s="241" t="s">
        <v>678</v>
      </c>
      <c r="E274" s="242" t="s">
        <v>770</v>
      </c>
      <c r="F274" s="243" t="s">
        <v>771</v>
      </c>
      <c r="G274" s="244" t="s">
        <v>255</v>
      </c>
      <c r="H274" s="245">
        <v>6.4260000000000002</v>
      </c>
      <c r="I274" s="246"/>
      <c r="J274" s="247">
        <f>ROUND(I274*H274,2)</f>
        <v>0</v>
      </c>
      <c r="K274" s="243" t="s">
        <v>180</v>
      </c>
      <c r="L274" s="248"/>
      <c r="M274" s="249" t="s">
        <v>180</v>
      </c>
      <c r="N274" s="250" t="s">
        <v>513</v>
      </c>
      <c r="P274" s="210">
        <f>O274*H274</f>
        <v>0</v>
      </c>
      <c r="Q274" s="210">
        <v>0.11799999999999999</v>
      </c>
      <c r="R274" s="210">
        <f>Q274*H274</f>
        <v>0.75826799999999994</v>
      </c>
      <c r="S274" s="210">
        <v>0</v>
      </c>
      <c r="T274" s="211">
        <f>S274*H274</f>
        <v>0</v>
      </c>
      <c r="AR274" s="212" t="s">
        <v>267</v>
      </c>
      <c r="AT274" s="212" t="s">
        <v>678</v>
      </c>
      <c r="AU274" s="212" t="s">
        <v>260</v>
      </c>
      <c r="AY274" s="127" t="s">
        <v>558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27" t="s">
        <v>254</v>
      </c>
      <c r="BK274" s="213">
        <f>ROUND(I274*H274,2)</f>
        <v>0</v>
      </c>
      <c r="BL274" s="127" t="s">
        <v>263</v>
      </c>
      <c r="BM274" s="212" t="s">
        <v>772</v>
      </c>
    </row>
    <row r="275" spans="2:65" s="136" customFormat="1" x14ac:dyDescent="0.25">
      <c r="B275" s="137"/>
      <c r="D275" s="219" t="s">
        <v>1196</v>
      </c>
      <c r="F275" s="351" t="s">
        <v>771</v>
      </c>
      <c r="I275" s="215"/>
      <c r="L275" s="137"/>
      <c r="M275" s="216"/>
      <c r="T275" s="146"/>
      <c r="AT275" s="127" t="s">
        <v>1196</v>
      </c>
      <c r="AU275" s="127" t="s">
        <v>260</v>
      </c>
    </row>
    <row r="276" spans="2:65" s="217" customFormat="1" x14ac:dyDescent="0.25">
      <c r="B276" s="218"/>
      <c r="D276" s="219" t="s">
        <v>567</v>
      </c>
      <c r="F276" s="221" t="s">
        <v>773</v>
      </c>
      <c r="H276" s="222">
        <v>6.4260000000000002</v>
      </c>
      <c r="I276" s="223"/>
      <c r="L276" s="218"/>
      <c r="M276" s="224"/>
      <c r="T276" s="225"/>
      <c r="AT276" s="220" t="s">
        <v>567</v>
      </c>
      <c r="AU276" s="220" t="s">
        <v>260</v>
      </c>
      <c r="AV276" s="217" t="s">
        <v>260</v>
      </c>
      <c r="AW276" s="217" t="s">
        <v>496</v>
      </c>
      <c r="AX276" s="217" t="s">
        <v>254</v>
      </c>
      <c r="AY276" s="220" t="s">
        <v>558</v>
      </c>
    </row>
    <row r="277" spans="2:65" s="136" customFormat="1" ht="16.5" customHeight="1" x14ac:dyDescent="0.25">
      <c r="B277" s="137"/>
      <c r="C277" s="241" t="s">
        <v>328</v>
      </c>
      <c r="D277" s="241" t="s">
        <v>678</v>
      </c>
      <c r="E277" s="242" t="s">
        <v>774</v>
      </c>
      <c r="F277" s="243" t="s">
        <v>775</v>
      </c>
      <c r="G277" s="244" t="s">
        <v>255</v>
      </c>
      <c r="H277" s="245">
        <v>36.923999999999999</v>
      </c>
      <c r="I277" s="246"/>
      <c r="J277" s="247">
        <f>ROUND(I277*H277,2)</f>
        <v>0</v>
      </c>
      <c r="K277" s="243" t="s">
        <v>180</v>
      </c>
      <c r="L277" s="248"/>
      <c r="M277" s="249" t="s">
        <v>180</v>
      </c>
      <c r="N277" s="250" t="s">
        <v>513</v>
      </c>
      <c r="P277" s="210">
        <f>O277*H277</f>
        <v>0</v>
      </c>
      <c r="Q277" s="210">
        <v>0.11799999999999999</v>
      </c>
      <c r="R277" s="210">
        <f>Q277*H277</f>
        <v>4.3570319999999993</v>
      </c>
      <c r="S277" s="210">
        <v>0</v>
      </c>
      <c r="T277" s="211">
        <f>S277*H277</f>
        <v>0</v>
      </c>
      <c r="AR277" s="212" t="s">
        <v>267</v>
      </c>
      <c r="AT277" s="212" t="s">
        <v>678</v>
      </c>
      <c r="AU277" s="212" t="s">
        <v>260</v>
      </c>
      <c r="AY277" s="127" t="s">
        <v>558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27" t="s">
        <v>254</v>
      </c>
      <c r="BK277" s="213">
        <f>ROUND(I277*H277,2)</f>
        <v>0</v>
      </c>
      <c r="BL277" s="127" t="s">
        <v>263</v>
      </c>
      <c r="BM277" s="212" t="s">
        <v>776</v>
      </c>
    </row>
    <row r="278" spans="2:65" s="136" customFormat="1" x14ac:dyDescent="0.25">
      <c r="B278" s="137"/>
      <c r="D278" s="219" t="s">
        <v>1196</v>
      </c>
      <c r="F278" s="351" t="s">
        <v>775</v>
      </c>
      <c r="I278" s="215"/>
      <c r="L278" s="137"/>
      <c r="M278" s="216"/>
      <c r="T278" s="146"/>
      <c r="AT278" s="127" t="s">
        <v>1196</v>
      </c>
      <c r="AU278" s="127" t="s">
        <v>260</v>
      </c>
    </row>
    <row r="279" spans="2:65" s="217" customFormat="1" x14ac:dyDescent="0.25">
      <c r="B279" s="218"/>
      <c r="D279" s="219" t="s">
        <v>567</v>
      </c>
      <c r="F279" s="221" t="s">
        <v>777</v>
      </c>
      <c r="H279" s="222">
        <v>36.923999999999999</v>
      </c>
      <c r="I279" s="223"/>
      <c r="L279" s="218"/>
      <c r="M279" s="224"/>
      <c r="T279" s="225"/>
      <c r="AT279" s="220" t="s">
        <v>567</v>
      </c>
      <c r="AU279" s="220" t="s">
        <v>260</v>
      </c>
      <c r="AV279" s="217" t="s">
        <v>260</v>
      </c>
      <c r="AW279" s="217" t="s">
        <v>496</v>
      </c>
      <c r="AX279" s="217" t="s">
        <v>254</v>
      </c>
      <c r="AY279" s="220" t="s">
        <v>558</v>
      </c>
    </row>
    <row r="280" spans="2:65" s="136" customFormat="1" ht="16.5" customHeight="1" x14ac:dyDescent="0.25">
      <c r="B280" s="137"/>
      <c r="C280" s="241" t="s">
        <v>329</v>
      </c>
      <c r="D280" s="241" t="s">
        <v>678</v>
      </c>
      <c r="E280" s="242" t="s">
        <v>778</v>
      </c>
      <c r="F280" s="243" t="s">
        <v>779</v>
      </c>
      <c r="G280" s="244" t="s">
        <v>255</v>
      </c>
      <c r="H280" s="245">
        <v>24.48</v>
      </c>
      <c r="I280" s="246"/>
      <c r="J280" s="247">
        <f>ROUND(I280*H280,2)</f>
        <v>0</v>
      </c>
      <c r="K280" s="243" t="s">
        <v>180</v>
      </c>
      <c r="L280" s="248"/>
      <c r="M280" s="249" t="s">
        <v>180</v>
      </c>
      <c r="N280" s="250" t="s">
        <v>513</v>
      </c>
      <c r="P280" s="210">
        <f>O280*H280</f>
        <v>0</v>
      </c>
      <c r="Q280" s="210">
        <v>0.11799999999999999</v>
      </c>
      <c r="R280" s="210">
        <f>Q280*H280</f>
        <v>2.8886400000000001</v>
      </c>
      <c r="S280" s="210">
        <v>0</v>
      </c>
      <c r="T280" s="211">
        <f>S280*H280</f>
        <v>0</v>
      </c>
      <c r="AR280" s="212" t="s">
        <v>267</v>
      </c>
      <c r="AT280" s="212" t="s">
        <v>678</v>
      </c>
      <c r="AU280" s="212" t="s">
        <v>260</v>
      </c>
      <c r="AY280" s="127" t="s">
        <v>558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27" t="s">
        <v>254</v>
      </c>
      <c r="BK280" s="213">
        <f>ROUND(I280*H280,2)</f>
        <v>0</v>
      </c>
      <c r="BL280" s="127" t="s">
        <v>263</v>
      </c>
      <c r="BM280" s="212" t="s">
        <v>780</v>
      </c>
    </row>
    <row r="281" spans="2:65" s="136" customFormat="1" x14ac:dyDescent="0.25">
      <c r="B281" s="137"/>
      <c r="D281" s="219" t="s">
        <v>1196</v>
      </c>
      <c r="F281" s="351" t="s">
        <v>779</v>
      </c>
      <c r="I281" s="215"/>
      <c r="L281" s="137"/>
      <c r="M281" s="216"/>
      <c r="T281" s="146"/>
      <c r="AT281" s="127" t="s">
        <v>1196</v>
      </c>
      <c r="AU281" s="127" t="s">
        <v>260</v>
      </c>
    </row>
    <row r="282" spans="2:65" s="217" customFormat="1" x14ac:dyDescent="0.25">
      <c r="B282" s="218"/>
      <c r="D282" s="219" t="s">
        <v>567</v>
      </c>
      <c r="F282" s="221" t="s">
        <v>781</v>
      </c>
      <c r="H282" s="222">
        <v>24.48</v>
      </c>
      <c r="I282" s="223"/>
      <c r="L282" s="218"/>
      <c r="M282" s="224"/>
      <c r="T282" s="225"/>
      <c r="AT282" s="220" t="s">
        <v>567</v>
      </c>
      <c r="AU282" s="220" t="s">
        <v>260</v>
      </c>
      <c r="AV282" s="217" t="s">
        <v>260</v>
      </c>
      <c r="AW282" s="217" t="s">
        <v>496</v>
      </c>
      <c r="AX282" s="217" t="s">
        <v>254</v>
      </c>
      <c r="AY282" s="220" t="s">
        <v>558</v>
      </c>
    </row>
    <row r="283" spans="2:65" s="188" customFormat="1" ht="22.9" customHeight="1" x14ac:dyDescent="0.2">
      <c r="B283" s="189"/>
      <c r="D283" s="190" t="s">
        <v>523</v>
      </c>
      <c r="E283" s="199" t="s">
        <v>267</v>
      </c>
      <c r="F283" s="199" t="s">
        <v>782</v>
      </c>
      <c r="I283" s="192"/>
      <c r="J283" s="200">
        <f>BK283</f>
        <v>0</v>
      </c>
      <c r="L283" s="189"/>
      <c r="M283" s="194"/>
      <c r="P283" s="195">
        <f>SUM(P284:P305)</f>
        <v>0</v>
      </c>
      <c r="R283" s="195">
        <f>SUM(R284:R305)</f>
        <v>8.4102399999999999</v>
      </c>
      <c r="T283" s="196">
        <f>SUM(T284:T305)</f>
        <v>0.6</v>
      </c>
      <c r="AR283" s="190" t="s">
        <v>254</v>
      </c>
      <c r="AT283" s="197" t="s">
        <v>523</v>
      </c>
      <c r="AU283" s="197" t="s">
        <v>254</v>
      </c>
      <c r="AY283" s="190" t="s">
        <v>558</v>
      </c>
      <c r="BK283" s="198">
        <f>SUM(BK284:BK305)</f>
        <v>0</v>
      </c>
    </row>
    <row r="284" spans="2:65" s="136" customFormat="1" ht="16.5" customHeight="1" x14ac:dyDescent="0.25">
      <c r="B284" s="137"/>
      <c r="C284" s="201" t="s">
        <v>330</v>
      </c>
      <c r="D284" s="201" t="s">
        <v>560</v>
      </c>
      <c r="E284" s="202" t="s">
        <v>783</v>
      </c>
      <c r="F284" s="203" t="s">
        <v>784</v>
      </c>
      <c r="G284" s="204" t="s">
        <v>261</v>
      </c>
      <c r="H284" s="205">
        <v>4</v>
      </c>
      <c r="I284" s="206"/>
      <c r="J284" s="207">
        <f>ROUND(I284*H284,2)</f>
        <v>0</v>
      </c>
      <c r="K284" s="203" t="s">
        <v>180</v>
      </c>
      <c r="L284" s="137"/>
      <c r="M284" s="208" t="s">
        <v>180</v>
      </c>
      <c r="N284" s="209" t="s">
        <v>513</v>
      </c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AR284" s="212" t="s">
        <v>263</v>
      </c>
      <c r="AT284" s="212" t="s">
        <v>560</v>
      </c>
      <c r="AU284" s="212" t="s">
        <v>260</v>
      </c>
      <c r="AY284" s="127" t="s">
        <v>558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27" t="s">
        <v>254</v>
      </c>
      <c r="BK284" s="213">
        <f>ROUND(I284*H284,2)</f>
        <v>0</v>
      </c>
      <c r="BL284" s="127" t="s">
        <v>263</v>
      </c>
      <c r="BM284" s="212" t="s">
        <v>785</v>
      </c>
    </row>
    <row r="285" spans="2:65" s="136" customFormat="1" x14ac:dyDescent="0.25">
      <c r="B285" s="137"/>
      <c r="D285" s="219" t="s">
        <v>1196</v>
      </c>
      <c r="F285" s="351" t="s">
        <v>784</v>
      </c>
      <c r="I285" s="215"/>
      <c r="L285" s="137"/>
      <c r="M285" s="216"/>
      <c r="T285" s="146"/>
      <c r="AT285" s="127" t="s">
        <v>1196</v>
      </c>
      <c r="AU285" s="127" t="s">
        <v>260</v>
      </c>
    </row>
    <row r="286" spans="2:65" s="217" customFormat="1" x14ac:dyDescent="0.25">
      <c r="B286" s="218"/>
      <c r="D286" s="219" t="s">
        <v>567</v>
      </c>
      <c r="E286" s="220" t="s">
        <v>180</v>
      </c>
      <c r="F286" s="221" t="s">
        <v>786</v>
      </c>
      <c r="H286" s="222">
        <v>4</v>
      </c>
      <c r="I286" s="223"/>
      <c r="L286" s="218"/>
      <c r="M286" s="224"/>
      <c r="T286" s="225"/>
      <c r="AT286" s="220" t="s">
        <v>567</v>
      </c>
      <c r="AU286" s="220" t="s">
        <v>260</v>
      </c>
      <c r="AV286" s="217" t="s">
        <v>260</v>
      </c>
      <c r="AW286" s="217" t="s">
        <v>506</v>
      </c>
      <c r="AX286" s="217" t="s">
        <v>254</v>
      </c>
      <c r="AY286" s="220" t="s">
        <v>558</v>
      </c>
    </row>
    <row r="287" spans="2:65" s="136" customFormat="1" ht="16.5" customHeight="1" x14ac:dyDescent="0.25">
      <c r="B287" s="137"/>
      <c r="C287" s="201" t="s">
        <v>331</v>
      </c>
      <c r="D287" s="201" t="s">
        <v>560</v>
      </c>
      <c r="E287" s="202" t="s">
        <v>787</v>
      </c>
      <c r="F287" s="203" t="s">
        <v>788</v>
      </c>
      <c r="G287" s="204" t="s">
        <v>261</v>
      </c>
      <c r="H287" s="205">
        <v>4</v>
      </c>
      <c r="I287" s="206"/>
      <c r="J287" s="207">
        <f>ROUND(I287*H287,2)</f>
        <v>0</v>
      </c>
      <c r="K287" s="203" t="s">
        <v>180</v>
      </c>
      <c r="L287" s="137"/>
      <c r="M287" s="208" t="s">
        <v>180</v>
      </c>
      <c r="N287" s="209" t="s">
        <v>513</v>
      </c>
      <c r="P287" s="210">
        <f>O287*H287</f>
        <v>0</v>
      </c>
      <c r="Q287" s="210">
        <v>0.34089999999999998</v>
      </c>
      <c r="R287" s="210">
        <f>Q287*H287</f>
        <v>1.3635999999999999</v>
      </c>
      <c r="S287" s="210">
        <v>0</v>
      </c>
      <c r="T287" s="211">
        <f>S287*H287</f>
        <v>0</v>
      </c>
      <c r="AR287" s="212" t="s">
        <v>263</v>
      </c>
      <c r="AT287" s="212" t="s">
        <v>560</v>
      </c>
      <c r="AU287" s="212" t="s">
        <v>260</v>
      </c>
      <c r="AY287" s="127" t="s">
        <v>558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27" t="s">
        <v>254</v>
      </c>
      <c r="BK287" s="213">
        <f>ROUND(I287*H287,2)</f>
        <v>0</v>
      </c>
      <c r="BL287" s="127" t="s">
        <v>263</v>
      </c>
      <c r="BM287" s="212" t="s">
        <v>789</v>
      </c>
    </row>
    <row r="288" spans="2:65" s="136" customFormat="1" x14ac:dyDescent="0.25">
      <c r="B288" s="137"/>
      <c r="D288" s="219" t="s">
        <v>1196</v>
      </c>
      <c r="F288" s="351" t="s">
        <v>788</v>
      </c>
      <c r="I288" s="215"/>
      <c r="L288" s="137"/>
      <c r="M288" s="216"/>
      <c r="T288" s="146"/>
      <c r="AT288" s="127" t="s">
        <v>1196</v>
      </c>
      <c r="AU288" s="127" t="s">
        <v>260</v>
      </c>
    </row>
    <row r="289" spans="2:65" s="217" customFormat="1" x14ac:dyDescent="0.25">
      <c r="B289" s="218"/>
      <c r="D289" s="219" t="s">
        <v>567</v>
      </c>
      <c r="E289" s="220" t="s">
        <v>180</v>
      </c>
      <c r="F289" s="221" t="s">
        <v>790</v>
      </c>
      <c r="H289" s="222">
        <v>4</v>
      </c>
      <c r="I289" s="223"/>
      <c r="L289" s="218"/>
      <c r="M289" s="224"/>
      <c r="T289" s="225"/>
      <c r="AT289" s="220" t="s">
        <v>567</v>
      </c>
      <c r="AU289" s="220" t="s">
        <v>260</v>
      </c>
      <c r="AV289" s="217" t="s">
        <v>260</v>
      </c>
      <c r="AW289" s="217" t="s">
        <v>506</v>
      </c>
      <c r="AX289" s="217" t="s">
        <v>254</v>
      </c>
      <c r="AY289" s="220" t="s">
        <v>558</v>
      </c>
    </row>
    <row r="290" spans="2:65" s="136" customFormat="1" ht="16.5" customHeight="1" x14ac:dyDescent="0.25">
      <c r="B290" s="137"/>
      <c r="C290" s="201" t="s">
        <v>333</v>
      </c>
      <c r="D290" s="201" t="s">
        <v>560</v>
      </c>
      <c r="E290" s="202" t="s">
        <v>791</v>
      </c>
      <c r="F290" s="203" t="s">
        <v>1233</v>
      </c>
      <c r="G290" s="204" t="s">
        <v>261</v>
      </c>
      <c r="H290" s="205">
        <v>4</v>
      </c>
      <c r="I290" s="206"/>
      <c r="J290" s="207">
        <f>ROUND(I290*H290,2)</f>
        <v>0</v>
      </c>
      <c r="K290" s="203" t="s">
        <v>563</v>
      </c>
      <c r="L290" s="137"/>
      <c r="M290" s="208" t="s">
        <v>180</v>
      </c>
      <c r="N290" s="209" t="s">
        <v>513</v>
      </c>
      <c r="P290" s="210">
        <f>O290*H290</f>
        <v>0</v>
      </c>
      <c r="Q290" s="210">
        <v>0</v>
      </c>
      <c r="R290" s="210">
        <f>Q290*H290</f>
        <v>0</v>
      </c>
      <c r="S290" s="210">
        <v>0.15</v>
      </c>
      <c r="T290" s="211">
        <f>S290*H290</f>
        <v>0.6</v>
      </c>
      <c r="AR290" s="212" t="s">
        <v>263</v>
      </c>
      <c r="AT290" s="212" t="s">
        <v>560</v>
      </c>
      <c r="AU290" s="212" t="s">
        <v>260</v>
      </c>
      <c r="AY290" s="127" t="s">
        <v>558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27" t="s">
        <v>254</v>
      </c>
      <c r="BK290" s="213">
        <f>ROUND(I290*H290,2)</f>
        <v>0</v>
      </c>
      <c r="BL290" s="127" t="s">
        <v>263</v>
      </c>
      <c r="BM290" s="212" t="s">
        <v>793</v>
      </c>
    </row>
    <row r="291" spans="2:65" s="136" customFormat="1" x14ac:dyDescent="0.25">
      <c r="B291" s="137"/>
      <c r="D291" s="219" t="s">
        <v>1196</v>
      </c>
      <c r="F291" s="351" t="s">
        <v>792</v>
      </c>
      <c r="I291" s="215"/>
      <c r="L291" s="137"/>
      <c r="M291" s="216"/>
      <c r="T291" s="146"/>
      <c r="AT291" s="127" t="s">
        <v>1196</v>
      </c>
      <c r="AU291" s="127" t="s">
        <v>260</v>
      </c>
    </row>
    <row r="292" spans="2:65" s="136" customFormat="1" x14ac:dyDescent="0.25">
      <c r="B292" s="137"/>
      <c r="D292" s="214" t="s">
        <v>565</v>
      </c>
      <c r="F292" s="288" t="s">
        <v>794</v>
      </c>
      <c r="I292" s="215"/>
      <c r="L292" s="137"/>
      <c r="M292" s="216"/>
      <c r="T292" s="146"/>
      <c r="AT292" s="127" t="s">
        <v>565</v>
      </c>
      <c r="AU292" s="127" t="s">
        <v>260</v>
      </c>
    </row>
    <row r="293" spans="2:65" s="217" customFormat="1" x14ac:dyDescent="0.25">
      <c r="B293" s="218"/>
      <c r="D293" s="219" t="s">
        <v>567</v>
      </c>
      <c r="E293" s="220" t="s">
        <v>180</v>
      </c>
      <c r="F293" s="221" t="s">
        <v>795</v>
      </c>
      <c r="H293" s="222">
        <v>4</v>
      </c>
      <c r="I293" s="223"/>
      <c r="L293" s="218"/>
      <c r="M293" s="224"/>
      <c r="T293" s="225"/>
      <c r="AT293" s="220" t="s">
        <v>567</v>
      </c>
      <c r="AU293" s="220" t="s">
        <v>260</v>
      </c>
      <c r="AV293" s="217" t="s">
        <v>260</v>
      </c>
      <c r="AW293" s="217" t="s">
        <v>506</v>
      </c>
      <c r="AX293" s="217" t="s">
        <v>254</v>
      </c>
      <c r="AY293" s="220" t="s">
        <v>558</v>
      </c>
    </row>
    <row r="294" spans="2:65" s="136" customFormat="1" ht="16.5" customHeight="1" x14ac:dyDescent="0.25">
      <c r="B294" s="137"/>
      <c r="C294" s="201" t="s">
        <v>335</v>
      </c>
      <c r="D294" s="201" t="s">
        <v>560</v>
      </c>
      <c r="E294" s="202" t="s">
        <v>796</v>
      </c>
      <c r="F294" s="203" t="s">
        <v>797</v>
      </c>
      <c r="G294" s="204" t="s">
        <v>261</v>
      </c>
      <c r="H294" s="205">
        <v>4</v>
      </c>
      <c r="I294" s="206"/>
      <c r="J294" s="207">
        <f>ROUND(I294*H294,2)</f>
        <v>0</v>
      </c>
      <c r="K294" s="203" t="s">
        <v>563</v>
      </c>
      <c r="L294" s="137"/>
      <c r="M294" s="208" t="s">
        <v>180</v>
      </c>
      <c r="N294" s="209" t="s">
        <v>513</v>
      </c>
      <c r="P294" s="210">
        <f>O294*H294</f>
        <v>0</v>
      </c>
      <c r="Q294" s="210">
        <v>0.21734000000000001</v>
      </c>
      <c r="R294" s="210">
        <f>Q294*H294</f>
        <v>0.86936000000000002</v>
      </c>
      <c r="S294" s="210">
        <v>0</v>
      </c>
      <c r="T294" s="211">
        <f>S294*H294</f>
        <v>0</v>
      </c>
      <c r="AR294" s="212" t="s">
        <v>263</v>
      </c>
      <c r="AT294" s="212" t="s">
        <v>560</v>
      </c>
      <c r="AU294" s="212" t="s">
        <v>260</v>
      </c>
      <c r="AY294" s="127" t="s">
        <v>558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27" t="s">
        <v>254</v>
      </c>
      <c r="BK294" s="213">
        <f>ROUND(I294*H294,2)</f>
        <v>0</v>
      </c>
      <c r="BL294" s="127" t="s">
        <v>263</v>
      </c>
      <c r="BM294" s="212" t="s">
        <v>798</v>
      </c>
    </row>
    <row r="295" spans="2:65" s="136" customFormat="1" x14ac:dyDescent="0.25">
      <c r="B295" s="137"/>
      <c r="D295" s="219" t="s">
        <v>1196</v>
      </c>
      <c r="F295" s="351" t="s">
        <v>797</v>
      </c>
      <c r="I295" s="215"/>
      <c r="L295" s="137"/>
      <c r="M295" s="216"/>
      <c r="T295" s="146"/>
      <c r="AT295" s="127" t="s">
        <v>1196</v>
      </c>
      <c r="AU295" s="127" t="s">
        <v>260</v>
      </c>
    </row>
    <row r="296" spans="2:65" s="136" customFormat="1" x14ac:dyDescent="0.25">
      <c r="B296" s="137"/>
      <c r="D296" s="214" t="s">
        <v>565</v>
      </c>
      <c r="F296" s="288" t="s">
        <v>799</v>
      </c>
      <c r="I296" s="215"/>
      <c r="L296" s="137"/>
      <c r="M296" s="216"/>
      <c r="T296" s="146"/>
      <c r="AT296" s="127" t="s">
        <v>565</v>
      </c>
      <c r="AU296" s="127" t="s">
        <v>260</v>
      </c>
    </row>
    <row r="297" spans="2:65" s="217" customFormat="1" x14ac:dyDescent="0.25">
      <c r="B297" s="218"/>
      <c r="D297" s="219" t="s">
        <v>567</v>
      </c>
      <c r="E297" s="220" t="s">
        <v>180</v>
      </c>
      <c r="F297" s="221" t="s">
        <v>795</v>
      </c>
      <c r="H297" s="222">
        <v>4</v>
      </c>
      <c r="I297" s="223"/>
      <c r="L297" s="218"/>
      <c r="M297" s="224"/>
      <c r="T297" s="225"/>
      <c r="AT297" s="220" t="s">
        <v>567</v>
      </c>
      <c r="AU297" s="220" t="s">
        <v>260</v>
      </c>
      <c r="AV297" s="217" t="s">
        <v>260</v>
      </c>
      <c r="AW297" s="217" t="s">
        <v>506</v>
      </c>
      <c r="AX297" s="217" t="s">
        <v>254</v>
      </c>
      <c r="AY297" s="220" t="s">
        <v>558</v>
      </c>
    </row>
    <row r="298" spans="2:65" s="136" customFormat="1" ht="16.5" customHeight="1" x14ac:dyDescent="0.25">
      <c r="B298" s="137"/>
      <c r="C298" s="241" t="s">
        <v>338</v>
      </c>
      <c r="D298" s="241" t="s">
        <v>678</v>
      </c>
      <c r="E298" s="242" t="s">
        <v>800</v>
      </c>
      <c r="F298" s="243" t="s">
        <v>801</v>
      </c>
      <c r="G298" s="244" t="s">
        <v>261</v>
      </c>
      <c r="H298" s="245">
        <v>4</v>
      </c>
      <c r="I298" s="246"/>
      <c r="J298" s="247">
        <f>ROUND(I298*H298,2)</f>
        <v>0</v>
      </c>
      <c r="K298" s="243" t="s">
        <v>563</v>
      </c>
      <c r="L298" s="248"/>
      <c r="M298" s="249" t="s">
        <v>180</v>
      </c>
      <c r="N298" s="250" t="s">
        <v>513</v>
      </c>
      <c r="P298" s="210">
        <f>O298*H298</f>
        <v>0</v>
      </c>
      <c r="Q298" s="210">
        <v>0.06</v>
      </c>
      <c r="R298" s="210">
        <f>Q298*H298</f>
        <v>0.24</v>
      </c>
      <c r="S298" s="210">
        <v>0</v>
      </c>
      <c r="T298" s="211">
        <f>S298*H298</f>
        <v>0</v>
      </c>
      <c r="AR298" s="212" t="s">
        <v>267</v>
      </c>
      <c r="AT298" s="212" t="s">
        <v>678</v>
      </c>
      <c r="AU298" s="212" t="s">
        <v>260</v>
      </c>
      <c r="AY298" s="127" t="s">
        <v>558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27" t="s">
        <v>254</v>
      </c>
      <c r="BK298" s="213">
        <f>ROUND(I298*H298,2)</f>
        <v>0</v>
      </c>
      <c r="BL298" s="127" t="s">
        <v>263</v>
      </c>
      <c r="BM298" s="212" t="s">
        <v>802</v>
      </c>
    </row>
    <row r="299" spans="2:65" s="136" customFormat="1" x14ac:dyDescent="0.25">
      <c r="B299" s="137"/>
      <c r="D299" s="219" t="s">
        <v>1196</v>
      </c>
      <c r="F299" s="351" t="s">
        <v>801</v>
      </c>
      <c r="I299" s="215"/>
      <c r="L299" s="137"/>
      <c r="M299" s="216"/>
      <c r="T299" s="146"/>
      <c r="AT299" s="127" t="s">
        <v>1196</v>
      </c>
      <c r="AU299" s="127" t="s">
        <v>260</v>
      </c>
    </row>
    <row r="300" spans="2:65" s="136" customFormat="1" ht="16.5" customHeight="1" x14ac:dyDescent="0.25">
      <c r="B300" s="137"/>
      <c r="C300" s="241" t="s">
        <v>340</v>
      </c>
      <c r="D300" s="241" t="s">
        <v>678</v>
      </c>
      <c r="E300" s="242" t="s">
        <v>803</v>
      </c>
      <c r="F300" s="243" t="s">
        <v>804</v>
      </c>
      <c r="G300" s="244" t="s">
        <v>261</v>
      </c>
      <c r="H300" s="245">
        <v>4</v>
      </c>
      <c r="I300" s="246"/>
      <c r="J300" s="247">
        <f>ROUND(I300*H300,2)</f>
        <v>0</v>
      </c>
      <c r="K300" s="243" t="s">
        <v>563</v>
      </c>
      <c r="L300" s="248"/>
      <c r="M300" s="249" t="s">
        <v>180</v>
      </c>
      <c r="N300" s="250" t="s">
        <v>513</v>
      </c>
      <c r="P300" s="210">
        <f>O300*H300</f>
        <v>0</v>
      </c>
      <c r="Q300" s="210">
        <v>7.1999999999999998E-3</v>
      </c>
      <c r="R300" s="210">
        <f>Q300*H300</f>
        <v>2.8799999999999999E-2</v>
      </c>
      <c r="S300" s="210">
        <v>0</v>
      </c>
      <c r="T300" s="211">
        <f>S300*H300</f>
        <v>0</v>
      </c>
      <c r="AR300" s="212" t="s">
        <v>267</v>
      </c>
      <c r="AT300" s="212" t="s">
        <v>678</v>
      </c>
      <c r="AU300" s="212" t="s">
        <v>260</v>
      </c>
      <c r="AY300" s="127" t="s">
        <v>558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127" t="s">
        <v>254</v>
      </c>
      <c r="BK300" s="213">
        <f>ROUND(I300*H300,2)</f>
        <v>0</v>
      </c>
      <c r="BL300" s="127" t="s">
        <v>263</v>
      </c>
      <c r="BM300" s="212" t="s">
        <v>805</v>
      </c>
    </row>
    <row r="301" spans="2:65" s="136" customFormat="1" x14ac:dyDescent="0.25">
      <c r="B301" s="137"/>
      <c r="D301" s="219" t="s">
        <v>1196</v>
      </c>
      <c r="F301" s="351" t="s">
        <v>804</v>
      </c>
      <c r="I301" s="215"/>
      <c r="L301" s="137"/>
      <c r="M301" s="216"/>
      <c r="T301" s="146"/>
      <c r="AT301" s="127" t="s">
        <v>1196</v>
      </c>
      <c r="AU301" s="127" t="s">
        <v>260</v>
      </c>
    </row>
    <row r="302" spans="2:65" s="136" customFormat="1" ht="16.5" customHeight="1" x14ac:dyDescent="0.25">
      <c r="B302" s="137"/>
      <c r="C302" s="201" t="s">
        <v>342</v>
      </c>
      <c r="D302" s="201" t="s">
        <v>560</v>
      </c>
      <c r="E302" s="202" t="s">
        <v>806</v>
      </c>
      <c r="F302" s="203" t="s">
        <v>807</v>
      </c>
      <c r="G302" s="204" t="s">
        <v>261</v>
      </c>
      <c r="H302" s="205">
        <v>6</v>
      </c>
      <c r="I302" s="206"/>
      <c r="J302" s="207">
        <f>ROUND(I302*H302,2)</f>
        <v>0</v>
      </c>
      <c r="K302" s="203" t="s">
        <v>180</v>
      </c>
      <c r="L302" s="137"/>
      <c r="M302" s="208" t="s">
        <v>180</v>
      </c>
      <c r="N302" s="209" t="s">
        <v>513</v>
      </c>
      <c r="P302" s="210">
        <f>O302*H302</f>
        <v>0</v>
      </c>
      <c r="Q302" s="210">
        <v>0.42368</v>
      </c>
      <c r="R302" s="210">
        <f>Q302*H302</f>
        <v>2.5420799999999999</v>
      </c>
      <c r="S302" s="210">
        <v>0</v>
      </c>
      <c r="T302" s="211">
        <f>S302*H302</f>
        <v>0</v>
      </c>
      <c r="AR302" s="212" t="s">
        <v>263</v>
      </c>
      <c r="AT302" s="212" t="s">
        <v>560</v>
      </c>
      <c r="AU302" s="212" t="s">
        <v>260</v>
      </c>
      <c r="AY302" s="127" t="s">
        <v>558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127" t="s">
        <v>254</v>
      </c>
      <c r="BK302" s="213">
        <f>ROUND(I302*H302,2)</f>
        <v>0</v>
      </c>
      <c r="BL302" s="127" t="s">
        <v>263</v>
      </c>
      <c r="BM302" s="212" t="s">
        <v>808</v>
      </c>
    </row>
    <row r="303" spans="2:65" s="136" customFormat="1" x14ac:dyDescent="0.25">
      <c r="B303" s="137"/>
      <c r="D303" s="219" t="s">
        <v>1196</v>
      </c>
      <c r="F303" s="351" t="s">
        <v>807</v>
      </c>
      <c r="I303" s="215"/>
      <c r="L303" s="137"/>
      <c r="M303" s="216"/>
      <c r="T303" s="146"/>
      <c r="AT303" s="127" t="s">
        <v>1196</v>
      </c>
      <c r="AU303" s="127" t="s">
        <v>260</v>
      </c>
    </row>
    <row r="304" spans="2:65" s="136" customFormat="1" ht="16.5" customHeight="1" x14ac:dyDescent="0.25">
      <c r="B304" s="137"/>
      <c r="C304" s="201" t="s">
        <v>345</v>
      </c>
      <c r="D304" s="201" t="s">
        <v>560</v>
      </c>
      <c r="E304" s="202" t="s">
        <v>809</v>
      </c>
      <c r="F304" s="203" t="s">
        <v>810</v>
      </c>
      <c r="G304" s="204" t="s">
        <v>261</v>
      </c>
      <c r="H304" s="205">
        <v>8</v>
      </c>
      <c r="I304" s="206"/>
      <c r="J304" s="207">
        <f>ROUND(I304*H304,2)</f>
        <v>0</v>
      </c>
      <c r="K304" s="203" t="s">
        <v>180</v>
      </c>
      <c r="L304" s="137"/>
      <c r="M304" s="208" t="s">
        <v>180</v>
      </c>
      <c r="N304" s="209" t="s">
        <v>513</v>
      </c>
      <c r="P304" s="210">
        <f>O304*H304</f>
        <v>0</v>
      </c>
      <c r="Q304" s="210">
        <v>0.42080000000000001</v>
      </c>
      <c r="R304" s="210">
        <f>Q304*H304</f>
        <v>3.3664000000000001</v>
      </c>
      <c r="S304" s="210">
        <v>0</v>
      </c>
      <c r="T304" s="211">
        <f>S304*H304</f>
        <v>0</v>
      </c>
      <c r="AR304" s="212" t="s">
        <v>263</v>
      </c>
      <c r="AT304" s="212" t="s">
        <v>560</v>
      </c>
      <c r="AU304" s="212" t="s">
        <v>260</v>
      </c>
      <c r="AY304" s="127" t="s">
        <v>558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27" t="s">
        <v>254</v>
      </c>
      <c r="BK304" s="213">
        <f>ROUND(I304*H304,2)</f>
        <v>0</v>
      </c>
      <c r="BL304" s="127" t="s">
        <v>263</v>
      </c>
      <c r="BM304" s="212" t="s">
        <v>811</v>
      </c>
    </row>
    <row r="305" spans="2:65" s="136" customFormat="1" x14ac:dyDescent="0.25">
      <c r="B305" s="137"/>
      <c r="D305" s="219" t="s">
        <v>1196</v>
      </c>
      <c r="F305" s="351" t="s">
        <v>810</v>
      </c>
      <c r="I305" s="215"/>
      <c r="L305" s="137"/>
      <c r="M305" s="216"/>
      <c r="T305" s="146"/>
      <c r="AT305" s="127" t="s">
        <v>1196</v>
      </c>
      <c r="AU305" s="127" t="s">
        <v>260</v>
      </c>
    </row>
    <row r="306" spans="2:65" s="188" customFormat="1" ht="22.9" customHeight="1" x14ac:dyDescent="0.2">
      <c r="B306" s="189"/>
      <c r="D306" s="190" t="s">
        <v>523</v>
      </c>
      <c r="E306" s="199" t="s">
        <v>268</v>
      </c>
      <c r="F306" s="199" t="s">
        <v>812</v>
      </c>
      <c r="I306" s="192"/>
      <c r="J306" s="200">
        <f>BK306</f>
        <v>0</v>
      </c>
      <c r="L306" s="189"/>
      <c r="M306" s="194"/>
      <c r="P306" s="195">
        <f>SUM(P307:P389)</f>
        <v>0</v>
      </c>
      <c r="R306" s="195">
        <f>SUM(R307:R389)</f>
        <v>79.023721999999992</v>
      </c>
      <c r="T306" s="196">
        <f>SUM(T307:T389)</f>
        <v>0.26600000000000001</v>
      </c>
      <c r="AR306" s="190" t="s">
        <v>254</v>
      </c>
      <c r="AT306" s="197" t="s">
        <v>523</v>
      </c>
      <c r="AU306" s="197" t="s">
        <v>254</v>
      </c>
      <c r="AY306" s="190" t="s">
        <v>558</v>
      </c>
      <c r="BK306" s="198">
        <f>SUM(BK307:BK389)</f>
        <v>0</v>
      </c>
    </row>
    <row r="307" spans="2:65" s="136" customFormat="1" ht="16.5" customHeight="1" x14ac:dyDescent="0.25">
      <c r="B307" s="137"/>
      <c r="C307" s="201" t="s">
        <v>347</v>
      </c>
      <c r="D307" s="201" t="s">
        <v>560</v>
      </c>
      <c r="E307" s="202" t="s">
        <v>813</v>
      </c>
      <c r="F307" s="203" t="s">
        <v>1234</v>
      </c>
      <c r="G307" s="204" t="s">
        <v>261</v>
      </c>
      <c r="H307" s="205">
        <v>3</v>
      </c>
      <c r="I307" s="206"/>
      <c r="J307" s="207">
        <f>ROUND(I307*H307,2)</f>
        <v>0</v>
      </c>
      <c r="K307" s="203" t="s">
        <v>563</v>
      </c>
      <c r="L307" s="137"/>
      <c r="M307" s="208" t="s">
        <v>180</v>
      </c>
      <c r="N307" s="209" t="s">
        <v>513</v>
      </c>
      <c r="P307" s="210">
        <f>O307*H307</f>
        <v>0</v>
      </c>
      <c r="Q307" s="210">
        <v>6.9999999999999999E-4</v>
      </c>
      <c r="R307" s="210">
        <f>Q307*H307</f>
        <v>2.0999999999999999E-3</v>
      </c>
      <c r="S307" s="210">
        <v>0</v>
      </c>
      <c r="T307" s="211">
        <f>S307*H307</f>
        <v>0</v>
      </c>
      <c r="AR307" s="212" t="s">
        <v>263</v>
      </c>
      <c r="AT307" s="212" t="s">
        <v>560</v>
      </c>
      <c r="AU307" s="212" t="s">
        <v>260</v>
      </c>
      <c r="AY307" s="127" t="s">
        <v>558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127" t="s">
        <v>254</v>
      </c>
      <c r="BK307" s="213">
        <f>ROUND(I307*H307,2)</f>
        <v>0</v>
      </c>
      <c r="BL307" s="127" t="s">
        <v>263</v>
      </c>
      <c r="BM307" s="212" t="s">
        <v>815</v>
      </c>
    </row>
    <row r="308" spans="2:65" s="136" customFormat="1" x14ac:dyDescent="0.25">
      <c r="B308" s="137"/>
      <c r="D308" s="219" t="s">
        <v>1196</v>
      </c>
      <c r="F308" s="351" t="s">
        <v>814</v>
      </c>
      <c r="I308" s="215"/>
      <c r="L308" s="137"/>
      <c r="M308" s="216"/>
      <c r="T308" s="146"/>
      <c r="AT308" s="127" t="s">
        <v>1196</v>
      </c>
      <c r="AU308" s="127" t="s">
        <v>260</v>
      </c>
    </row>
    <row r="309" spans="2:65" s="136" customFormat="1" x14ac:dyDescent="0.25">
      <c r="B309" s="137"/>
      <c r="D309" s="214" t="s">
        <v>565</v>
      </c>
      <c r="F309" s="288" t="s">
        <v>816</v>
      </c>
      <c r="I309" s="215"/>
      <c r="L309" s="137"/>
      <c r="M309" s="216"/>
      <c r="T309" s="146"/>
      <c r="AT309" s="127" t="s">
        <v>565</v>
      </c>
      <c r="AU309" s="127" t="s">
        <v>260</v>
      </c>
    </row>
    <row r="310" spans="2:65" s="217" customFormat="1" x14ac:dyDescent="0.25">
      <c r="B310" s="218"/>
      <c r="D310" s="219" t="s">
        <v>567</v>
      </c>
      <c r="E310" s="220" t="s">
        <v>180</v>
      </c>
      <c r="F310" s="221" t="s">
        <v>817</v>
      </c>
      <c r="H310" s="222">
        <v>1</v>
      </c>
      <c r="I310" s="223"/>
      <c r="L310" s="218"/>
      <c r="M310" s="224"/>
      <c r="T310" s="225"/>
      <c r="AT310" s="220" t="s">
        <v>567</v>
      </c>
      <c r="AU310" s="220" t="s">
        <v>260</v>
      </c>
      <c r="AV310" s="217" t="s">
        <v>260</v>
      </c>
      <c r="AW310" s="217" t="s">
        <v>506</v>
      </c>
      <c r="AX310" s="217" t="s">
        <v>295</v>
      </c>
      <c r="AY310" s="220" t="s">
        <v>558</v>
      </c>
    </row>
    <row r="311" spans="2:65" s="217" customFormat="1" x14ac:dyDescent="0.25">
      <c r="B311" s="218"/>
      <c r="D311" s="219" t="s">
        <v>567</v>
      </c>
      <c r="E311" s="220" t="s">
        <v>180</v>
      </c>
      <c r="F311" s="221" t="s">
        <v>818</v>
      </c>
      <c r="H311" s="222">
        <v>1</v>
      </c>
      <c r="I311" s="223"/>
      <c r="L311" s="218"/>
      <c r="M311" s="224"/>
      <c r="T311" s="225"/>
      <c r="AT311" s="220" t="s">
        <v>567</v>
      </c>
      <c r="AU311" s="220" t="s">
        <v>260</v>
      </c>
      <c r="AV311" s="217" t="s">
        <v>260</v>
      </c>
      <c r="AW311" s="217" t="s">
        <v>506</v>
      </c>
      <c r="AX311" s="217" t="s">
        <v>295</v>
      </c>
      <c r="AY311" s="220" t="s">
        <v>558</v>
      </c>
    </row>
    <row r="312" spans="2:65" s="217" customFormat="1" x14ac:dyDescent="0.25">
      <c r="B312" s="218"/>
      <c r="D312" s="219" t="s">
        <v>567</v>
      </c>
      <c r="E312" s="220" t="s">
        <v>180</v>
      </c>
      <c r="F312" s="221" t="s">
        <v>819</v>
      </c>
      <c r="H312" s="222">
        <v>1</v>
      </c>
      <c r="I312" s="223"/>
      <c r="L312" s="218"/>
      <c r="M312" s="224"/>
      <c r="T312" s="225"/>
      <c r="AT312" s="220" t="s">
        <v>567</v>
      </c>
      <c r="AU312" s="220" t="s">
        <v>260</v>
      </c>
      <c r="AV312" s="217" t="s">
        <v>260</v>
      </c>
      <c r="AW312" s="217" t="s">
        <v>506</v>
      </c>
      <c r="AX312" s="217" t="s">
        <v>295</v>
      </c>
      <c r="AY312" s="220" t="s">
        <v>558</v>
      </c>
    </row>
    <row r="313" spans="2:65" s="226" customFormat="1" x14ac:dyDescent="0.25">
      <c r="B313" s="227"/>
      <c r="D313" s="219" t="s">
        <v>567</v>
      </c>
      <c r="E313" s="228" t="s">
        <v>180</v>
      </c>
      <c r="F313" s="229" t="s">
        <v>595</v>
      </c>
      <c r="H313" s="230">
        <v>3</v>
      </c>
      <c r="I313" s="231"/>
      <c r="L313" s="227"/>
      <c r="M313" s="232"/>
      <c r="T313" s="233"/>
      <c r="AT313" s="228" t="s">
        <v>567</v>
      </c>
      <c r="AU313" s="228" t="s">
        <v>260</v>
      </c>
      <c r="AV313" s="226" t="s">
        <v>263</v>
      </c>
      <c r="AW313" s="226" t="s">
        <v>506</v>
      </c>
      <c r="AX313" s="226" t="s">
        <v>254</v>
      </c>
      <c r="AY313" s="228" t="s">
        <v>558</v>
      </c>
    </row>
    <row r="314" spans="2:65" s="136" customFormat="1" ht="16.5" customHeight="1" x14ac:dyDescent="0.25">
      <c r="B314" s="137"/>
      <c r="C314" s="241" t="s">
        <v>348</v>
      </c>
      <c r="D314" s="241" t="s">
        <v>678</v>
      </c>
      <c r="E314" s="242" t="s">
        <v>820</v>
      </c>
      <c r="F314" s="243" t="s">
        <v>821</v>
      </c>
      <c r="G314" s="244" t="s">
        <v>261</v>
      </c>
      <c r="H314" s="245">
        <v>1</v>
      </c>
      <c r="I314" s="246"/>
      <c r="J314" s="247">
        <f>ROUND(I314*H314,2)</f>
        <v>0</v>
      </c>
      <c r="K314" s="243" t="s">
        <v>563</v>
      </c>
      <c r="L314" s="248"/>
      <c r="M314" s="249" t="s">
        <v>180</v>
      </c>
      <c r="N314" s="250" t="s">
        <v>513</v>
      </c>
      <c r="P314" s="210">
        <f>O314*H314</f>
        <v>0</v>
      </c>
      <c r="Q314" s="210">
        <v>3.5000000000000001E-3</v>
      </c>
      <c r="R314" s="210">
        <f>Q314*H314</f>
        <v>3.5000000000000001E-3</v>
      </c>
      <c r="S314" s="210">
        <v>0</v>
      </c>
      <c r="T314" s="211">
        <f>S314*H314</f>
        <v>0</v>
      </c>
      <c r="AR314" s="212" t="s">
        <v>267</v>
      </c>
      <c r="AT314" s="212" t="s">
        <v>678</v>
      </c>
      <c r="AU314" s="212" t="s">
        <v>260</v>
      </c>
      <c r="AY314" s="127" t="s">
        <v>558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127" t="s">
        <v>254</v>
      </c>
      <c r="BK314" s="213">
        <f>ROUND(I314*H314,2)</f>
        <v>0</v>
      </c>
      <c r="BL314" s="127" t="s">
        <v>263</v>
      </c>
      <c r="BM314" s="212" t="s">
        <v>822</v>
      </c>
    </row>
    <row r="315" spans="2:65" s="136" customFormat="1" x14ac:dyDescent="0.25">
      <c r="B315" s="137"/>
      <c r="D315" s="219" t="s">
        <v>1196</v>
      </c>
      <c r="F315" s="351" t="s">
        <v>821</v>
      </c>
      <c r="I315" s="215"/>
      <c r="L315" s="137"/>
      <c r="M315" s="216"/>
      <c r="T315" s="146"/>
      <c r="AT315" s="127" t="s">
        <v>1196</v>
      </c>
      <c r="AU315" s="127" t="s">
        <v>260</v>
      </c>
    </row>
    <row r="316" spans="2:65" s="136" customFormat="1" ht="16.5" customHeight="1" x14ac:dyDescent="0.25">
      <c r="B316" s="137"/>
      <c r="C316" s="241" t="s">
        <v>349</v>
      </c>
      <c r="D316" s="241" t="s">
        <v>678</v>
      </c>
      <c r="E316" s="242" t="s">
        <v>823</v>
      </c>
      <c r="F316" s="243" t="s">
        <v>824</v>
      </c>
      <c r="G316" s="244" t="s">
        <v>261</v>
      </c>
      <c r="H316" s="245">
        <v>1</v>
      </c>
      <c r="I316" s="246"/>
      <c r="J316" s="247">
        <f>ROUND(I316*H316,2)</f>
        <v>0</v>
      </c>
      <c r="K316" s="243" t="s">
        <v>563</v>
      </c>
      <c r="L316" s="248"/>
      <c r="M316" s="249" t="s">
        <v>180</v>
      </c>
      <c r="N316" s="250" t="s">
        <v>513</v>
      </c>
      <c r="P316" s="210">
        <f>O316*H316</f>
        <v>0</v>
      </c>
      <c r="Q316" s="210">
        <v>1.2999999999999999E-3</v>
      </c>
      <c r="R316" s="210">
        <f>Q316*H316</f>
        <v>1.2999999999999999E-3</v>
      </c>
      <c r="S316" s="210">
        <v>0</v>
      </c>
      <c r="T316" s="211">
        <f>S316*H316</f>
        <v>0</v>
      </c>
      <c r="AR316" s="212" t="s">
        <v>267</v>
      </c>
      <c r="AT316" s="212" t="s">
        <v>678</v>
      </c>
      <c r="AU316" s="212" t="s">
        <v>260</v>
      </c>
      <c r="AY316" s="127" t="s">
        <v>558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27" t="s">
        <v>254</v>
      </c>
      <c r="BK316" s="213">
        <f>ROUND(I316*H316,2)</f>
        <v>0</v>
      </c>
      <c r="BL316" s="127" t="s">
        <v>263</v>
      </c>
      <c r="BM316" s="212" t="s">
        <v>825</v>
      </c>
    </row>
    <row r="317" spans="2:65" s="136" customFormat="1" x14ac:dyDescent="0.25">
      <c r="B317" s="137"/>
      <c r="D317" s="219" t="s">
        <v>1196</v>
      </c>
      <c r="F317" s="351" t="s">
        <v>824</v>
      </c>
      <c r="I317" s="215"/>
      <c r="L317" s="137"/>
      <c r="M317" s="216"/>
      <c r="T317" s="146"/>
      <c r="AT317" s="127" t="s">
        <v>1196</v>
      </c>
      <c r="AU317" s="127" t="s">
        <v>260</v>
      </c>
    </row>
    <row r="318" spans="2:65" s="136" customFormat="1" ht="16.5" customHeight="1" x14ac:dyDescent="0.25">
      <c r="B318" s="137"/>
      <c r="C318" s="241" t="s">
        <v>350</v>
      </c>
      <c r="D318" s="241" t="s">
        <v>678</v>
      </c>
      <c r="E318" s="242" t="s">
        <v>826</v>
      </c>
      <c r="F318" s="243" t="s">
        <v>827</v>
      </c>
      <c r="G318" s="244" t="s">
        <v>261</v>
      </c>
      <c r="H318" s="245">
        <v>1</v>
      </c>
      <c r="I318" s="246"/>
      <c r="J318" s="247">
        <f>ROUND(I318*H318,2)</f>
        <v>0</v>
      </c>
      <c r="K318" s="243" t="s">
        <v>563</v>
      </c>
      <c r="L318" s="248"/>
      <c r="M318" s="249" t="s">
        <v>180</v>
      </c>
      <c r="N318" s="250" t="s">
        <v>513</v>
      </c>
      <c r="P318" s="210">
        <f>O318*H318</f>
        <v>0</v>
      </c>
      <c r="Q318" s="210">
        <v>1.6999999999999999E-3</v>
      </c>
      <c r="R318" s="210">
        <f>Q318*H318</f>
        <v>1.6999999999999999E-3</v>
      </c>
      <c r="S318" s="210">
        <v>0</v>
      </c>
      <c r="T318" s="211">
        <f>S318*H318</f>
        <v>0</v>
      </c>
      <c r="AR318" s="212" t="s">
        <v>267</v>
      </c>
      <c r="AT318" s="212" t="s">
        <v>678</v>
      </c>
      <c r="AU318" s="212" t="s">
        <v>260</v>
      </c>
      <c r="AY318" s="127" t="s">
        <v>558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27" t="s">
        <v>254</v>
      </c>
      <c r="BK318" s="213">
        <f>ROUND(I318*H318,2)</f>
        <v>0</v>
      </c>
      <c r="BL318" s="127" t="s">
        <v>263</v>
      </c>
      <c r="BM318" s="212" t="s">
        <v>828</v>
      </c>
    </row>
    <row r="319" spans="2:65" s="136" customFormat="1" x14ac:dyDescent="0.25">
      <c r="B319" s="137"/>
      <c r="D319" s="219" t="s">
        <v>1196</v>
      </c>
      <c r="F319" s="351" t="s">
        <v>827</v>
      </c>
      <c r="I319" s="215"/>
      <c r="L319" s="137"/>
      <c r="M319" s="216"/>
      <c r="T319" s="146"/>
      <c r="AT319" s="127" t="s">
        <v>1196</v>
      </c>
      <c r="AU319" s="127" t="s">
        <v>260</v>
      </c>
    </row>
    <row r="320" spans="2:65" s="136" customFormat="1" ht="16.5" customHeight="1" x14ac:dyDescent="0.25">
      <c r="B320" s="137"/>
      <c r="C320" s="201" t="s">
        <v>351</v>
      </c>
      <c r="D320" s="201" t="s">
        <v>560</v>
      </c>
      <c r="E320" s="202" t="s">
        <v>829</v>
      </c>
      <c r="F320" s="203" t="s">
        <v>1235</v>
      </c>
      <c r="G320" s="204" t="s">
        <v>261</v>
      </c>
      <c r="H320" s="205">
        <v>2</v>
      </c>
      <c r="I320" s="206"/>
      <c r="J320" s="207">
        <f>ROUND(I320*H320,2)</f>
        <v>0</v>
      </c>
      <c r="K320" s="203" t="s">
        <v>563</v>
      </c>
      <c r="L320" s="137"/>
      <c r="M320" s="208" t="s">
        <v>180</v>
      </c>
      <c r="N320" s="209" t="s">
        <v>513</v>
      </c>
      <c r="P320" s="210">
        <f>O320*H320</f>
        <v>0</v>
      </c>
      <c r="Q320" s="210">
        <v>1.0499999999999999E-3</v>
      </c>
      <c r="R320" s="210">
        <f>Q320*H320</f>
        <v>2.0999999999999999E-3</v>
      </c>
      <c r="S320" s="210">
        <v>0</v>
      </c>
      <c r="T320" s="211">
        <f>S320*H320</f>
        <v>0</v>
      </c>
      <c r="AR320" s="212" t="s">
        <v>263</v>
      </c>
      <c r="AT320" s="212" t="s">
        <v>560</v>
      </c>
      <c r="AU320" s="212" t="s">
        <v>260</v>
      </c>
      <c r="AY320" s="127" t="s">
        <v>558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27" t="s">
        <v>254</v>
      </c>
      <c r="BK320" s="213">
        <f>ROUND(I320*H320,2)</f>
        <v>0</v>
      </c>
      <c r="BL320" s="127" t="s">
        <v>263</v>
      </c>
      <c r="BM320" s="212" t="s">
        <v>831</v>
      </c>
    </row>
    <row r="321" spans="2:65" s="136" customFormat="1" x14ac:dyDescent="0.25">
      <c r="B321" s="137"/>
      <c r="D321" s="219" t="s">
        <v>1196</v>
      </c>
      <c r="F321" s="351" t="s">
        <v>830</v>
      </c>
      <c r="I321" s="215"/>
      <c r="L321" s="137"/>
      <c r="M321" s="216"/>
      <c r="T321" s="146"/>
      <c r="AT321" s="127" t="s">
        <v>1196</v>
      </c>
      <c r="AU321" s="127" t="s">
        <v>260</v>
      </c>
    </row>
    <row r="322" spans="2:65" s="136" customFormat="1" x14ac:dyDescent="0.25">
      <c r="B322" s="137"/>
      <c r="D322" s="214" t="s">
        <v>565</v>
      </c>
      <c r="F322" s="288" t="s">
        <v>832</v>
      </c>
      <c r="I322" s="215"/>
      <c r="L322" s="137"/>
      <c r="M322" s="216"/>
      <c r="T322" s="146"/>
      <c r="AT322" s="127" t="s">
        <v>565</v>
      </c>
      <c r="AU322" s="127" t="s">
        <v>260</v>
      </c>
    </row>
    <row r="323" spans="2:65" s="217" customFormat="1" x14ac:dyDescent="0.25">
      <c r="B323" s="218"/>
      <c r="D323" s="219" t="s">
        <v>567</v>
      </c>
      <c r="E323" s="220" t="s">
        <v>180</v>
      </c>
      <c r="F323" s="221" t="s">
        <v>833</v>
      </c>
      <c r="H323" s="222">
        <v>1</v>
      </c>
      <c r="I323" s="223"/>
      <c r="L323" s="218"/>
      <c r="M323" s="224"/>
      <c r="T323" s="225"/>
      <c r="AT323" s="220" t="s">
        <v>567</v>
      </c>
      <c r="AU323" s="220" t="s">
        <v>260</v>
      </c>
      <c r="AV323" s="217" t="s">
        <v>260</v>
      </c>
      <c r="AW323" s="217" t="s">
        <v>506</v>
      </c>
      <c r="AX323" s="217" t="s">
        <v>295</v>
      </c>
      <c r="AY323" s="220" t="s">
        <v>558</v>
      </c>
    </row>
    <row r="324" spans="2:65" s="217" customFormat="1" x14ac:dyDescent="0.25">
      <c r="B324" s="218"/>
      <c r="D324" s="219" t="s">
        <v>567</v>
      </c>
      <c r="E324" s="220" t="s">
        <v>180</v>
      </c>
      <c r="F324" s="221" t="s">
        <v>834</v>
      </c>
      <c r="H324" s="222">
        <v>1</v>
      </c>
      <c r="I324" s="223"/>
      <c r="L324" s="218"/>
      <c r="M324" s="224"/>
      <c r="T324" s="225"/>
      <c r="AT324" s="220" t="s">
        <v>567</v>
      </c>
      <c r="AU324" s="220" t="s">
        <v>260</v>
      </c>
      <c r="AV324" s="217" t="s">
        <v>260</v>
      </c>
      <c r="AW324" s="217" t="s">
        <v>506</v>
      </c>
      <c r="AX324" s="217" t="s">
        <v>295</v>
      </c>
      <c r="AY324" s="220" t="s">
        <v>558</v>
      </c>
    </row>
    <row r="325" spans="2:65" s="226" customFormat="1" x14ac:dyDescent="0.25">
      <c r="B325" s="227"/>
      <c r="D325" s="219" t="s">
        <v>567</v>
      </c>
      <c r="E325" s="228" t="s">
        <v>180</v>
      </c>
      <c r="F325" s="229" t="s">
        <v>595</v>
      </c>
      <c r="H325" s="230">
        <v>2</v>
      </c>
      <c r="I325" s="231"/>
      <c r="L325" s="227"/>
      <c r="M325" s="232"/>
      <c r="T325" s="233"/>
      <c r="AT325" s="228" t="s">
        <v>567</v>
      </c>
      <c r="AU325" s="228" t="s">
        <v>260</v>
      </c>
      <c r="AV325" s="226" t="s">
        <v>263</v>
      </c>
      <c r="AW325" s="226" t="s">
        <v>506</v>
      </c>
      <c r="AX325" s="226" t="s">
        <v>254</v>
      </c>
      <c r="AY325" s="228" t="s">
        <v>558</v>
      </c>
    </row>
    <row r="326" spans="2:65" s="136" customFormat="1" ht="16.5" customHeight="1" x14ac:dyDescent="0.25">
      <c r="B326" s="137"/>
      <c r="C326" s="241" t="s">
        <v>352</v>
      </c>
      <c r="D326" s="241" t="s">
        <v>678</v>
      </c>
      <c r="E326" s="242" t="s">
        <v>835</v>
      </c>
      <c r="F326" s="243" t="s">
        <v>836</v>
      </c>
      <c r="G326" s="244" t="s">
        <v>261</v>
      </c>
      <c r="H326" s="245">
        <v>2</v>
      </c>
      <c r="I326" s="246"/>
      <c r="J326" s="247">
        <f>ROUND(I326*H326,2)</f>
        <v>0</v>
      </c>
      <c r="K326" s="243" t="s">
        <v>563</v>
      </c>
      <c r="L326" s="248"/>
      <c r="M326" s="249" t="s">
        <v>180</v>
      </c>
      <c r="N326" s="250" t="s">
        <v>513</v>
      </c>
      <c r="P326" s="210">
        <f>O326*H326</f>
        <v>0</v>
      </c>
      <c r="Q326" s="210">
        <v>1.55E-2</v>
      </c>
      <c r="R326" s="210">
        <f>Q326*H326</f>
        <v>3.1E-2</v>
      </c>
      <c r="S326" s="210">
        <v>0</v>
      </c>
      <c r="T326" s="211">
        <f>S326*H326</f>
        <v>0</v>
      </c>
      <c r="AR326" s="212" t="s">
        <v>267</v>
      </c>
      <c r="AT326" s="212" t="s">
        <v>678</v>
      </c>
      <c r="AU326" s="212" t="s">
        <v>260</v>
      </c>
      <c r="AY326" s="127" t="s">
        <v>558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127" t="s">
        <v>254</v>
      </c>
      <c r="BK326" s="213">
        <f>ROUND(I326*H326,2)</f>
        <v>0</v>
      </c>
      <c r="BL326" s="127" t="s">
        <v>263</v>
      </c>
      <c r="BM326" s="212" t="s">
        <v>837</v>
      </c>
    </row>
    <row r="327" spans="2:65" s="136" customFormat="1" x14ac:dyDescent="0.25">
      <c r="B327" s="137"/>
      <c r="D327" s="219" t="s">
        <v>1196</v>
      </c>
      <c r="F327" s="351" t="s">
        <v>836</v>
      </c>
      <c r="I327" s="215"/>
      <c r="L327" s="137"/>
      <c r="M327" s="216"/>
      <c r="T327" s="146"/>
      <c r="AT327" s="127" t="s">
        <v>1196</v>
      </c>
      <c r="AU327" s="127" t="s">
        <v>260</v>
      </c>
    </row>
    <row r="328" spans="2:65" s="136" customFormat="1" ht="16.5" customHeight="1" x14ac:dyDescent="0.25">
      <c r="B328" s="137"/>
      <c r="C328" s="201" t="s">
        <v>353</v>
      </c>
      <c r="D328" s="201" t="s">
        <v>560</v>
      </c>
      <c r="E328" s="202" t="s">
        <v>838</v>
      </c>
      <c r="F328" s="203" t="s">
        <v>1236</v>
      </c>
      <c r="G328" s="204" t="s">
        <v>261</v>
      </c>
      <c r="H328" s="205">
        <v>4</v>
      </c>
      <c r="I328" s="206"/>
      <c r="J328" s="207">
        <f>ROUND(I328*H328,2)</f>
        <v>0</v>
      </c>
      <c r="K328" s="203" t="s">
        <v>563</v>
      </c>
      <c r="L328" s="137"/>
      <c r="M328" s="208" t="s">
        <v>180</v>
      </c>
      <c r="N328" s="209" t="s">
        <v>513</v>
      </c>
      <c r="P328" s="210">
        <f>O328*H328</f>
        <v>0</v>
      </c>
      <c r="Q328" s="210">
        <v>0.11241</v>
      </c>
      <c r="R328" s="210">
        <f>Q328*H328</f>
        <v>0.44963999999999998</v>
      </c>
      <c r="S328" s="210">
        <v>0</v>
      </c>
      <c r="T328" s="211">
        <f>S328*H328</f>
        <v>0</v>
      </c>
      <c r="AR328" s="212" t="s">
        <v>263</v>
      </c>
      <c r="AT328" s="212" t="s">
        <v>560</v>
      </c>
      <c r="AU328" s="212" t="s">
        <v>260</v>
      </c>
      <c r="AY328" s="127" t="s">
        <v>558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127" t="s">
        <v>254</v>
      </c>
      <c r="BK328" s="213">
        <f>ROUND(I328*H328,2)</f>
        <v>0</v>
      </c>
      <c r="BL328" s="127" t="s">
        <v>263</v>
      </c>
      <c r="BM328" s="212" t="s">
        <v>840</v>
      </c>
    </row>
    <row r="329" spans="2:65" s="136" customFormat="1" x14ac:dyDescent="0.25">
      <c r="B329" s="137"/>
      <c r="D329" s="219" t="s">
        <v>1196</v>
      </c>
      <c r="F329" s="351" t="s">
        <v>839</v>
      </c>
      <c r="I329" s="215"/>
      <c r="L329" s="137"/>
      <c r="M329" s="216"/>
      <c r="T329" s="146"/>
      <c r="AT329" s="127" t="s">
        <v>1196</v>
      </c>
      <c r="AU329" s="127" t="s">
        <v>260</v>
      </c>
    </row>
    <row r="330" spans="2:65" s="136" customFormat="1" x14ac:dyDescent="0.25">
      <c r="B330" s="137"/>
      <c r="D330" s="214" t="s">
        <v>565</v>
      </c>
      <c r="F330" s="288" t="s">
        <v>841</v>
      </c>
      <c r="I330" s="215"/>
      <c r="L330" s="137"/>
      <c r="M330" s="216"/>
      <c r="T330" s="146"/>
      <c r="AT330" s="127" t="s">
        <v>565</v>
      </c>
      <c r="AU330" s="127" t="s">
        <v>260</v>
      </c>
    </row>
    <row r="331" spans="2:65" s="217" customFormat="1" x14ac:dyDescent="0.25">
      <c r="B331" s="218"/>
      <c r="D331" s="219" t="s">
        <v>567</v>
      </c>
      <c r="E331" s="220" t="s">
        <v>180</v>
      </c>
      <c r="F331" s="221" t="s">
        <v>842</v>
      </c>
      <c r="H331" s="222">
        <v>4</v>
      </c>
      <c r="I331" s="223"/>
      <c r="L331" s="218"/>
      <c r="M331" s="224"/>
      <c r="T331" s="225"/>
      <c r="AT331" s="220" t="s">
        <v>567</v>
      </c>
      <c r="AU331" s="220" t="s">
        <v>260</v>
      </c>
      <c r="AV331" s="217" t="s">
        <v>260</v>
      </c>
      <c r="AW331" s="217" t="s">
        <v>506</v>
      </c>
      <c r="AX331" s="217" t="s">
        <v>254</v>
      </c>
      <c r="AY331" s="220" t="s">
        <v>558</v>
      </c>
    </row>
    <row r="332" spans="2:65" s="136" customFormat="1" ht="16.5" customHeight="1" x14ac:dyDescent="0.25">
      <c r="B332" s="137"/>
      <c r="C332" s="241" t="s">
        <v>355</v>
      </c>
      <c r="D332" s="241" t="s">
        <v>678</v>
      </c>
      <c r="E332" s="242" t="s">
        <v>843</v>
      </c>
      <c r="F332" s="243" t="s">
        <v>844</v>
      </c>
      <c r="G332" s="244" t="s">
        <v>261</v>
      </c>
      <c r="H332" s="245">
        <v>4</v>
      </c>
      <c r="I332" s="246"/>
      <c r="J332" s="247">
        <f>ROUND(I332*H332,2)</f>
        <v>0</v>
      </c>
      <c r="K332" s="243" t="s">
        <v>563</v>
      </c>
      <c r="L332" s="248"/>
      <c r="M332" s="249" t="s">
        <v>180</v>
      </c>
      <c r="N332" s="250" t="s">
        <v>513</v>
      </c>
      <c r="P332" s="210">
        <f>O332*H332</f>
        <v>0</v>
      </c>
      <c r="Q332" s="210">
        <v>6.1000000000000004E-3</v>
      </c>
      <c r="R332" s="210">
        <f>Q332*H332</f>
        <v>2.4400000000000002E-2</v>
      </c>
      <c r="S332" s="210">
        <v>0</v>
      </c>
      <c r="T332" s="211">
        <f>S332*H332</f>
        <v>0</v>
      </c>
      <c r="AR332" s="212" t="s">
        <v>267</v>
      </c>
      <c r="AT332" s="212" t="s">
        <v>678</v>
      </c>
      <c r="AU332" s="212" t="s">
        <v>260</v>
      </c>
      <c r="AY332" s="127" t="s">
        <v>558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127" t="s">
        <v>254</v>
      </c>
      <c r="BK332" s="213">
        <f>ROUND(I332*H332,2)</f>
        <v>0</v>
      </c>
      <c r="BL332" s="127" t="s">
        <v>263</v>
      </c>
      <c r="BM332" s="212" t="s">
        <v>845</v>
      </c>
    </row>
    <row r="333" spans="2:65" s="136" customFormat="1" x14ac:dyDescent="0.25">
      <c r="B333" s="137"/>
      <c r="D333" s="219" t="s">
        <v>1196</v>
      </c>
      <c r="F333" s="351" t="s">
        <v>844</v>
      </c>
      <c r="I333" s="215"/>
      <c r="L333" s="137"/>
      <c r="M333" s="216"/>
      <c r="T333" s="146"/>
      <c r="AT333" s="127" t="s">
        <v>1196</v>
      </c>
      <c r="AU333" s="127" t="s">
        <v>260</v>
      </c>
    </row>
    <row r="334" spans="2:65" s="136" customFormat="1" ht="16.5" customHeight="1" x14ac:dyDescent="0.25">
      <c r="B334" s="137"/>
      <c r="C334" s="241" t="s">
        <v>356</v>
      </c>
      <c r="D334" s="241" t="s">
        <v>678</v>
      </c>
      <c r="E334" s="242" t="s">
        <v>846</v>
      </c>
      <c r="F334" s="243" t="s">
        <v>847</v>
      </c>
      <c r="G334" s="244" t="s">
        <v>261</v>
      </c>
      <c r="H334" s="245">
        <v>4</v>
      </c>
      <c r="I334" s="246"/>
      <c r="J334" s="247">
        <f>ROUND(I334*H334,2)</f>
        <v>0</v>
      </c>
      <c r="K334" s="243" t="s">
        <v>563</v>
      </c>
      <c r="L334" s="248"/>
      <c r="M334" s="249" t="s">
        <v>180</v>
      </c>
      <c r="N334" s="250" t="s">
        <v>513</v>
      </c>
      <c r="P334" s="210">
        <f>O334*H334</f>
        <v>0</v>
      </c>
      <c r="Q334" s="210">
        <v>3.0000000000000001E-3</v>
      </c>
      <c r="R334" s="210">
        <f>Q334*H334</f>
        <v>1.2E-2</v>
      </c>
      <c r="S334" s="210">
        <v>0</v>
      </c>
      <c r="T334" s="211">
        <f>S334*H334</f>
        <v>0</v>
      </c>
      <c r="AR334" s="212" t="s">
        <v>267</v>
      </c>
      <c r="AT334" s="212" t="s">
        <v>678</v>
      </c>
      <c r="AU334" s="212" t="s">
        <v>260</v>
      </c>
      <c r="AY334" s="127" t="s">
        <v>558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27" t="s">
        <v>254</v>
      </c>
      <c r="BK334" s="213">
        <f>ROUND(I334*H334,2)</f>
        <v>0</v>
      </c>
      <c r="BL334" s="127" t="s">
        <v>263</v>
      </c>
      <c r="BM334" s="212" t="s">
        <v>848</v>
      </c>
    </row>
    <row r="335" spans="2:65" s="136" customFormat="1" x14ac:dyDescent="0.25">
      <c r="B335" s="137"/>
      <c r="D335" s="219" t="s">
        <v>1196</v>
      </c>
      <c r="F335" s="351" t="s">
        <v>847</v>
      </c>
      <c r="I335" s="215"/>
      <c r="L335" s="137"/>
      <c r="M335" s="216"/>
      <c r="T335" s="146"/>
      <c r="AT335" s="127" t="s">
        <v>1196</v>
      </c>
      <c r="AU335" s="127" t="s">
        <v>260</v>
      </c>
    </row>
    <row r="336" spans="2:65" s="136" customFormat="1" ht="16.5" customHeight="1" x14ac:dyDescent="0.25">
      <c r="B336" s="137"/>
      <c r="C336" s="241" t="s">
        <v>358</v>
      </c>
      <c r="D336" s="241" t="s">
        <v>678</v>
      </c>
      <c r="E336" s="242" t="s">
        <v>849</v>
      </c>
      <c r="F336" s="243" t="s">
        <v>850</v>
      </c>
      <c r="G336" s="244" t="s">
        <v>261</v>
      </c>
      <c r="H336" s="245">
        <v>4</v>
      </c>
      <c r="I336" s="246"/>
      <c r="J336" s="247">
        <f>ROUND(I336*H336,2)</f>
        <v>0</v>
      </c>
      <c r="K336" s="243" t="s">
        <v>563</v>
      </c>
      <c r="L336" s="248"/>
      <c r="M336" s="249" t="s">
        <v>180</v>
      </c>
      <c r="N336" s="250" t="s">
        <v>513</v>
      </c>
      <c r="P336" s="210">
        <f>O336*H336</f>
        <v>0</v>
      </c>
      <c r="Q336" s="210">
        <v>3.5E-4</v>
      </c>
      <c r="R336" s="210">
        <f>Q336*H336</f>
        <v>1.4E-3</v>
      </c>
      <c r="S336" s="210">
        <v>0</v>
      </c>
      <c r="T336" s="211">
        <f>S336*H336</f>
        <v>0</v>
      </c>
      <c r="AR336" s="212" t="s">
        <v>267</v>
      </c>
      <c r="AT336" s="212" t="s">
        <v>678</v>
      </c>
      <c r="AU336" s="212" t="s">
        <v>260</v>
      </c>
      <c r="AY336" s="127" t="s">
        <v>558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127" t="s">
        <v>254</v>
      </c>
      <c r="BK336" s="213">
        <f>ROUND(I336*H336,2)</f>
        <v>0</v>
      </c>
      <c r="BL336" s="127" t="s">
        <v>263</v>
      </c>
      <c r="BM336" s="212" t="s">
        <v>851</v>
      </c>
    </row>
    <row r="337" spans="2:65" s="136" customFormat="1" x14ac:dyDescent="0.25">
      <c r="B337" s="137"/>
      <c r="D337" s="219" t="s">
        <v>1196</v>
      </c>
      <c r="F337" s="351" t="s">
        <v>850</v>
      </c>
      <c r="I337" s="215"/>
      <c r="L337" s="137"/>
      <c r="M337" s="216"/>
      <c r="T337" s="146"/>
      <c r="AT337" s="127" t="s">
        <v>1196</v>
      </c>
      <c r="AU337" s="127" t="s">
        <v>260</v>
      </c>
    </row>
    <row r="338" spans="2:65" s="136" customFormat="1" ht="16.5" customHeight="1" x14ac:dyDescent="0.25">
      <c r="B338" s="137"/>
      <c r="C338" s="241" t="s">
        <v>359</v>
      </c>
      <c r="D338" s="241" t="s">
        <v>678</v>
      </c>
      <c r="E338" s="242" t="s">
        <v>852</v>
      </c>
      <c r="F338" s="243" t="s">
        <v>853</v>
      </c>
      <c r="G338" s="244" t="s">
        <v>261</v>
      </c>
      <c r="H338" s="245">
        <v>4</v>
      </c>
      <c r="I338" s="246"/>
      <c r="J338" s="247">
        <f>ROUND(I338*H338,2)</f>
        <v>0</v>
      </c>
      <c r="K338" s="243" t="s">
        <v>563</v>
      </c>
      <c r="L338" s="248"/>
      <c r="M338" s="249" t="s">
        <v>180</v>
      </c>
      <c r="N338" s="250" t="s">
        <v>513</v>
      </c>
      <c r="P338" s="210">
        <f>O338*H338</f>
        <v>0</v>
      </c>
      <c r="Q338" s="210">
        <v>1E-4</v>
      </c>
      <c r="R338" s="210">
        <f>Q338*H338</f>
        <v>4.0000000000000002E-4</v>
      </c>
      <c r="S338" s="210">
        <v>0</v>
      </c>
      <c r="T338" s="211">
        <f>S338*H338</f>
        <v>0</v>
      </c>
      <c r="AR338" s="212" t="s">
        <v>267</v>
      </c>
      <c r="AT338" s="212" t="s">
        <v>678</v>
      </c>
      <c r="AU338" s="212" t="s">
        <v>260</v>
      </c>
      <c r="AY338" s="127" t="s">
        <v>558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127" t="s">
        <v>254</v>
      </c>
      <c r="BK338" s="213">
        <f>ROUND(I338*H338,2)</f>
        <v>0</v>
      </c>
      <c r="BL338" s="127" t="s">
        <v>263</v>
      </c>
      <c r="BM338" s="212" t="s">
        <v>854</v>
      </c>
    </row>
    <row r="339" spans="2:65" s="136" customFormat="1" x14ac:dyDescent="0.25">
      <c r="B339" s="137"/>
      <c r="D339" s="219" t="s">
        <v>1196</v>
      </c>
      <c r="F339" s="351" t="s">
        <v>853</v>
      </c>
      <c r="I339" s="215"/>
      <c r="L339" s="137"/>
      <c r="M339" s="216"/>
      <c r="T339" s="146"/>
      <c r="AT339" s="127" t="s">
        <v>1196</v>
      </c>
      <c r="AU339" s="127" t="s">
        <v>260</v>
      </c>
    </row>
    <row r="340" spans="2:65" s="136" customFormat="1" ht="16.5" customHeight="1" x14ac:dyDescent="0.25">
      <c r="B340" s="137"/>
      <c r="C340" s="201" t="s">
        <v>360</v>
      </c>
      <c r="D340" s="201" t="s">
        <v>560</v>
      </c>
      <c r="E340" s="202" t="s">
        <v>855</v>
      </c>
      <c r="F340" s="203" t="s">
        <v>1237</v>
      </c>
      <c r="G340" s="204" t="s">
        <v>35</v>
      </c>
      <c r="H340" s="205">
        <v>63</v>
      </c>
      <c r="I340" s="206"/>
      <c r="J340" s="207">
        <f>ROUND(I340*H340,2)</f>
        <v>0</v>
      </c>
      <c r="K340" s="203" t="s">
        <v>563</v>
      </c>
      <c r="L340" s="137"/>
      <c r="M340" s="208" t="s">
        <v>180</v>
      </c>
      <c r="N340" s="209" t="s">
        <v>513</v>
      </c>
      <c r="P340" s="210">
        <f>O340*H340</f>
        <v>0</v>
      </c>
      <c r="Q340" s="210">
        <v>3.3E-4</v>
      </c>
      <c r="R340" s="210">
        <f>Q340*H340</f>
        <v>2.0789999999999999E-2</v>
      </c>
      <c r="S340" s="210">
        <v>0</v>
      </c>
      <c r="T340" s="211">
        <f>S340*H340</f>
        <v>0</v>
      </c>
      <c r="AR340" s="212" t="s">
        <v>263</v>
      </c>
      <c r="AT340" s="212" t="s">
        <v>560</v>
      </c>
      <c r="AU340" s="212" t="s">
        <v>260</v>
      </c>
      <c r="AY340" s="127" t="s">
        <v>558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27" t="s">
        <v>254</v>
      </c>
      <c r="BK340" s="213">
        <f>ROUND(I340*H340,2)</f>
        <v>0</v>
      </c>
      <c r="BL340" s="127" t="s">
        <v>263</v>
      </c>
      <c r="BM340" s="212" t="s">
        <v>857</v>
      </c>
    </row>
    <row r="341" spans="2:65" s="136" customFormat="1" x14ac:dyDescent="0.25">
      <c r="B341" s="137"/>
      <c r="D341" s="219" t="s">
        <v>1196</v>
      </c>
      <c r="F341" s="351" t="s">
        <v>856</v>
      </c>
      <c r="I341" s="215"/>
      <c r="L341" s="137"/>
      <c r="M341" s="216"/>
      <c r="T341" s="146"/>
      <c r="AT341" s="127" t="s">
        <v>1196</v>
      </c>
      <c r="AU341" s="127" t="s">
        <v>260</v>
      </c>
    </row>
    <row r="342" spans="2:65" s="136" customFormat="1" x14ac:dyDescent="0.25">
      <c r="B342" s="137"/>
      <c r="D342" s="214" t="s">
        <v>565</v>
      </c>
      <c r="F342" s="288" t="s">
        <v>858</v>
      </c>
      <c r="I342" s="215"/>
      <c r="L342" s="137"/>
      <c r="M342" s="216"/>
      <c r="T342" s="146"/>
      <c r="AT342" s="127" t="s">
        <v>565</v>
      </c>
      <c r="AU342" s="127" t="s">
        <v>260</v>
      </c>
    </row>
    <row r="343" spans="2:65" s="217" customFormat="1" x14ac:dyDescent="0.25">
      <c r="B343" s="218"/>
      <c r="D343" s="219" t="s">
        <v>567</v>
      </c>
      <c r="E343" s="220" t="s">
        <v>180</v>
      </c>
      <c r="F343" s="221" t="s">
        <v>859</v>
      </c>
      <c r="H343" s="222">
        <v>63</v>
      </c>
      <c r="I343" s="223"/>
      <c r="L343" s="218"/>
      <c r="M343" s="224"/>
      <c r="T343" s="225"/>
      <c r="AT343" s="220" t="s">
        <v>567</v>
      </c>
      <c r="AU343" s="220" t="s">
        <v>260</v>
      </c>
      <c r="AV343" s="217" t="s">
        <v>260</v>
      </c>
      <c r="AW343" s="217" t="s">
        <v>506</v>
      </c>
      <c r="AX343" s="217" t="s">
        <v>254</v>
      </c>
      <c r="AY343" s="220" t="s">
        <v>558</v>
      </c>
    </row>
    <row r="344" spans="2:65" s="136" customFormat="1" ht="16.5" customHeight="1" x14ac:dyDescent="0.25">
      <c r="B344" s="137"/>
      <c r="C344" s="201" t="s">
        <v>361</v>
      </c>
      <c r="D344" s="201" t="s">
        <v>560</v>
      </c>
      <c r="E344" s="202" t="s">
        <v>860</v>
      </c>
      <c r="F344" s="203" t="s">
        <v>1238</v>
      </c>
      <c r="G344" s="204" t="s">
        <v>255</v>
      </c>
      <c r="H344" s="205">
        <v>10</v>
      </c>
      <c r="I344" s="206"/>
      <c r="J344" s="207">
        <f>ROUND(I344*H344,2)</f>
        <v>0</v>
      </c>
      <c r="K344" s="203" t="s">
        <v>563</v>
      </c>
      <c r="L344" s="137"/>
      <c r="M344" s="208" t="s">
        <v>180</v>
      </c>
      <c r="N344" s="209" t="s">
        <v>513</v>
      </c>
      <c r="P344" s="210">
        <f>O344*H344</f>
        <v>0</v>
      </c>
      <c r="Q344" s="210">
        <v>2.5999999999999999E-3</v>
      </c>
      <c r="R344" s="210">
        <f>Q344*H344</f>
        <v>2.5999999999999999E-2</v>
      </c>
      <c r="S344" s="210">
        <v>0</v>
      </c>
      <c r="T344" s="211">
        <f>S344*H344</f>
        <v>0</v>
      </c>
      <c r="AR344" s="212" t="s">
        <v>263</v>
      </c>
      <c r="AT344" s="212" t="s">
        <v>560</v>
      </c>
      <c r="AU344" s="212" t="s">
        <v>260</v>
      </c>
      <c r="AY344" s="127" t="s">
        <v>558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127" t="s">
        <v>254</v>
      </c>
      <c r="BK344" s="213">
        <f>ROUND(I344*H344,2)</f>
        <v>0</v>
      </c>
      <c r="BL344" s="127" t="s">
        <v>263</v>
      </c>
      <c r="BM344" s="212" t="s">
        <v>862</v>
      </c>
    </row>
    <row r="345" spans="2:65" s="136" customFormat="1" x14ac:dyDescent="0.25">
      <c r="B345" s="137"/>
      <c r="D345" s="219" t="s">
        <v>1196</v>
      </c>
      <c r="F345" s="351" t="s">
        <v>861</v>
      </c>
      <c r="I345" s="215"/>
      <c r="L345" s="137"/>
      <c r="M345" s="216"/>
      <c r="T345" s="146"/>
      <c r="AT345" s="127" t="s">
        <v>1196</v>
      </c>
      <c r="AU345" s="127" t="s">
        <v>260</v>
      </c>
    </row>
    <row r="346" spans="2:65" s="136" customFormat="1" x14ac:dyDescent="0.25">
      <c r="B346" s="137"/>
      <c r="D346" s="214" t="s">
        <v>565</v>
      </c>
      <c r="F346" s="288" t="s">
        <v>863</v>
      </c>
      <c r="I346" s="215"/>
      <c r="L346" s="137"/>
      <c r="M346" s="216"/>
      <c r="T346" s="146"/>
      <c r="AT346" s="127" t="s">
        <v>565</v>
      </c>
      <c r="AU346" s="127" t="s">
        <v>260</v>
      </c>
    </row>
    <row r="347" spans="2:65" s="217" customFormat="1" x14ac:dyDescent="0.25">
      <c r="B347" s="218"/>
      <c r="D347" s="219" t="s">
        <v>567</v>
      </c>
      <c r="E347" s="220" t="s">
        <v>180</v>
      </c>
      <c r="F347" s="221" t="s">
        <v>864</v>
      </c>
      <c r="H347" s="222">
        <v>10</v>
      </c>
      <c r="I347" s="223"/>
      <c r="L347" s="218"/>
      <c r="M347" s="224"/>
      <c r="T347" s="225"/>
      <c r="AT347" s="220" t="s">
        <v>567</v>
      </c>
      <c r="AU347" s="220" t="s">
        <v>260</v>
      </c>
      <c r="AV347" s="217" t="s">
        <v>260</v>
      </c>
      <c r="AW347" s="217" t="s">
        <v>506</v>
      </c>
      <c r="AX347" s="217" t="s">
        <v>254</v>
      </c>
      <c r="AY347" s="220" t="s">
        <v>558</v>
      </c>
    </row>
    <row r="348" spans="2:65" s="136" customFormat="1" ht="16.5" customHeight="1" x14ac:dyDescent="0.25">
      <c r="B348" s="137"/>
      <c r="C348" s="201" t="s">
        <v>362</v>
      </c>
      <c r="D348" s="201" t="s">
        <v>560</v>
      </c>
      <c r="E348" s="202" t="s">
        <v>865</v>
      </c>
      <c r="F348" s="203" t="s">
        <v>1239</v>
      </c>
      <c r="G348" s="204" t="s">
        <v>35</v>
      </c>
      <c r="H348" s="205">
        <v>63</v>
      </c>
      <c r="I348" s="206"/>
      <c r="J348" s="207">
        <f>ROUND(I348*H348,2)</f>
        <v>0</v>
      </c>
      <c r="K348" s="203" t="s">
        <v>563</v>
      </c>
      <c r="L348" s="137"/>
      <c r="M348" s="208" t="s">
        <v>180</v>
      </c>
      <c r="N348" s="209" t="s">
        <v>513</v>
      </c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AR348" s="212" t="s">
        <v>263</v>
      </c>
      <c r="AT348" s="212" t="s">
        <v>560</v>
      </c>
      <c r="AU348" s="212" t="s">
        <v>260</v>
      </c>
      <c r="AY348" s="127" t="s">
        <v>558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27" t="s">
        <v>254</v>
      </c>
      <c r="BK348" s="213">
        <f>ROUND(I348*H348,2)</f>
        <v>0</v>
      </c>
      <c r="BL348" s="127" t="s">
        <v>263</v>
      </c>
      <c r="BM348" s="212" t="s">
        <v>867</v>
      </c>
    </row>
    <row r="349" spans="2:65" s="136" customFormat="1" x14ac:dyDescent="0.25">
      <c r="B349" s="137"/>
      <c r="D349" s="219" t="s">
        <v>1196</v>
      </c>
      <c r="F349" s="351" t="s">
        <v>866</v>
      </c>
      <c r="I349" s="215"/>
      <c r="L349" s="137"/>
      <c r="M349" s="216"/>
      <c r="T349" s="146"/>
      <c r="AT349" s="127" t="s">
        <v>1196</v>
      </c>
      <c r="AU349" s="127" t="s">
        <v>260</v>
      </c>
    </row>
    <row r="350" spans="2:65" s="136" customFormat="1" x14ac:dyDescent="0.25">
      <c r="B350" s="137"/>
      <c r="D350" s="214" t="s">
        <v>565</v>
      </c>
      <c r="F350" s="288" t="s">
        <v>868</v>
      </c>
      <c r="I350" s="215"/>
      <c r="L350" s="137"/>
      <c r="M350" s="216"/>
      <c r="T350" s="146"/>
      <c r="AT350" s="127" t="s">
        <v>565</v>
      </c>
      <c r="AU350" s="127" t="s">
        <v>260</v>
      </c>
    </row>
    <row r="351" spans="2:65" s="136" customFormat="1" ht="16.5" customHeight="1" x14ac:dyDescent="0.25">
      <c r="B351" s="137"/>
      <c r="C351" s="201" t="s">
        <v>363</v>
      </c>
      <c r="D351" s="201" t="s">
        <v>560</v>
      </c>
      <c r="E351" s="202" t="s">
        <v>869</v>
      </c>
      <c r="F351" s="203" t="s">
        <v>1240</v>
      </c>
      <c r="G351" s="204" t="s">
        <v>255</v>
      </c>
      <c r="H351" s="205">
        <v>10</v>
      </c>
      <c r="I351" s="206"/>
      <c r="J351" s="207">
        <f>ROUND(I351*H351,2)</f>
        <v>0</v>
      </c>
      <c r="K351" s="203" t="s">
        <v>563</v>
      </c>
      <c r="L351" s="137"/>
      <c r="M351" s="208" t="s">
        <v>180</v>
      </c>
      <c r="N351" s="209" t="s">
        <v>513</v>
      </c>
      <c r="P351" s="210">
        <f>O351*H351</f>
        <v>0</v>
      </c>
      <c r="Q351" s="210">
        <v>1.0000000000000001E-5</v>
      </c>
      <c r="R351" s="210">
        <f>Q351*H351</f>
        <v>1E-4</v>
      </c>
      <c r="S351" s="210">
        <v>0</v>
      </c>
      <c r="T351" s="211">
        <f>S351*H351</f>
        <v>0</v>
      </c>
      <c r="AR351" s="212" t="s">
        <v>263</v>
      </c>
      <c r="AT351" s="212" t="s">
        <v>560</v>
      </c>
      <c r="AU351" s="212" t="s">
        <v>260</v>
      </c>
      <c r="AY351" s="127" t="s">
        <v>558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27" t="s">
        <v>254</v>
      </c>
      <c r="BK351" s="213">
        <f>ROUND(I351*H351,2)</f>
        <v>0</v>
      </c>
      <c r="BL351" s="127" t="s">
        <v>263</v>
      </c>
      <c r="BM351" s="212" t="s">
        <v>871</v>
      </c>
    </row>
    <row r="352" spans="2:65" s="136" customFormat="1" x14ac:dyDescent="0.25">
      <c r="B352" s="137"/>
      <c r="D352" s="219" t="s">
        <v>1196</v>
      </c>
      <c r="F352" s="351" t="s">
        <v>870</v>
      </c>
      <c r="I352" s="215"/>
      <c r="L352" s="137"/>
      <c r="M352" s="216"/>
      <c r="T352" s="146"/>
      <c r="AT352" s="127" t="s">
        <v>1196</v>
      </c>
      <c r="AU352" s="127" t="s">
        <v>260</v>
      </c>
    </row>
    <row r="353" spans="2:65" s="136" customFormat="1" x14ac:dyDescent="0.25">
      <c r="B353" s="137"/>
      <c r="D353" s="214" t="s">
        <v>565</v>
      </c>
      <c r="F353" s="288" t="s">
        <v>872</v>
      </c>
      <c r="I353" s="215"/>
      <c r="L353" s="137"/>
      <c r="M353" s="216"/>
      <c r="T353" s="146"/>
      <c r="AT353" s="127" t="s">
        <v>565</v>
      </c>
      <c r="AU353" s="127" t="s">
        <v>260</v>
      </c>
    </row>
    <row r="354" spans="2:65" s="136" customFormat="1" ht="16.5" customHeight="1" x14ac:dyDescent="0.25">
      <c r="B354" s="137"/>
      <c r="C354" s="201" t="s">
        <v>364</v>
      </c>
      <c r="D354" s="201" t="s">
        <v>560</v>
      </c>
      <c r="E354" s="202" t="s">
        <v>873</v>
      </c>
      <c r="F354" s="203" t="s">
        <v>1241</v>
      </c>
      <c r="G354" s="204" t="s">
        <v>35</v>
      </c>
      <c r="H354" s="205">
        <v>347</v>
      </c>
      <c r="I354" s="206"/>
      <c r="J354" s="207">
        <f>ROUND(I354*H354,2)</f>
        <v>0</v>
      </c>
      <c r="K354" s="203" t="s">
        <v>563</v>
      </c>
      <c r="L354" s="137"/>
      <c r="M354" s="208" t="s">
        <v>180</v>
      </c>
      <c r="N354" s="209" t="s">
        <v>513</v>
      </c>
      <c r="P354" s="210">
        <f>O354*H354</f>
        <v>0</v>
      </c>
      <c r="Q354" s="210">
        <v>0.14066999999999999</v>
      </c>
      <c r="R354" s="210">
        <f>Q354*H354</f>
        <v>48.812489999999997</v>
      </c>
      <c r="S354" s="210">
        <v>0</v>
      </c>
      <c r="T354" s="211">
        <f>S354*H354</f>
        <v>0</v>
      </c>
      <c r="AR354" s="212" t="s">
        <v>263</v>
      </c>
      <c r="AT354" s="212" t="s">
        <v>560</v>
      </c>
      <c r="AU354" s="212" t="s">
        <v>260</v>
      </c>
      <c r="AY354" s="127" t="s">
        <v>558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127" t="s">
        <v>254</v>
      </c>
      <c r="BK354" s="213">
        <f>ROUND(I354*H354,2)</f>
        <v>0</v>
      </c>
      <c r="BL354" s="127" t="s">
        <v>263</v>
      </c>
      <c r="BM354" s="212" t="s">
        <v>875</v>
      </c>
    </row>
    <row r="355" spans="2:65" s="136" customFormat="1" ht="19.5" x14ac:dyDescent="0.25">
      <c r="B355" s="137"/>
      <c r="D355" s="219" t="s">
        <v>1196</v>
      </c>
      <c r="F355" s="351" t="s">
        <v>874</v>
      </c>
      <c r="I355" s="215"/>
      <c r="L355" s="137"/>
      <c r="M355" s="216"/>
      <c r="T355" s="146"/>
      <c r="AT355" s="127" t="s">
        <v>1196</v>
      </c>
      <c r="AU355" s="127" t="s">
        <v>260</v>
      </c>
    </row>
    <row r="356" spans="2:65" s="136" customFormat="1" x14ac:dyDescent="0.25">
      <c r="B356" s="137"/>
      <c r="D356" s="214" t="s">
        <v>565</v>
      </c>
      <c r="F356" s="288" t="s">
        <v>876</v>
      </c>
      <c r="I356" s="215"/>
      <c r="L356" s="137"/>
      <c r="M356" s="216"/>
      <c r="T356" s="146"/>
      <c r="AT356" s="127" t="s">
        <v>565</v>
      </c>
      <c r="AU356" s="127" t="s">
        <v>260</v>
      </c>
    </row>
    <row r="357" spans="2:65" s="217" customFormat="1" x14ac:dyDescent="0.25">
      <c r="B357" s="218"/>
      <c r="D357" s="219" t="s">
        <v>567</v>
      </c>
      <c r="E357" s="220" t="s">
        <v>180</v>
      </c>
      <c r="F357" s="221" t="s">
        <v>877</v>
      </c>
      <c r="H357" s="222">
        <v>347</v>
      </c>
      <c r="I357" s="223"/>
      <c r="L357" s="218"/>
      <c r="M357" s="224"/>
      <c r="T357" s="225"/>
      <c r="AT357" s="220" t="s">
        <v>567</v>
      </c>
      <c r="AU357" s="220" t="s">
        <v>260</v>
      </c>
      <c r="AV357" s="217" t="s">
        <v>260</v>
      </c>
      <c r="AW357" s="217" t="s">
        <v>506</v>
      </c>
      <c r="AX357" s="217" t="s">
        <v>254</v>
      </c>
      <c r="AY357" s="220" t="s">
        <v>558</v>
      </c>
    </row>
    <row r="358" spans="2:65" s="136" customFormat="1" ht="16.5" customHeight="1" x14ac:dyDescent="0.25">
      <c r="B358" s="137"/>
      <c r="C358" s="241" t="s">
        <v>366</v>
      </c>
      <c r="D358" s="241" t="s">
        <v>678</v>
      </c>
      <c r="E358" s="242" t="s">
        <v>878</v>
      </c>
      <c r="F358" s="243" t="s">
        <v>879</v>
      </c>
      <c r="G358" s="244" t="s">
        <v>35</v>
      </c>
      <c r="H358" s="245">
        <v>99</v>
      </c>
      <c r="I358" s="246"/>
      <c r="J358" s="247">
        <f>ROUND(I358*H358,2)</f>
        <v>0</v>
      </c>
      <c r="K358" s="243" t="s">
        <v>180</v>
      </c>
      <c r="L358" s="248"/>
      <c r="M358" s="249" t="s">
        <v>180</v>
      </c>
      <c r="N358" s="250" t="s">
        <v>513</v>
      </c>
      <c r="P358" s="210">
        <f>O358*H358</f>
        <v>0</v>
      </c>
      <c r="Q358" s="210">
        <v>8.2000000000000003E-2</v>
      </c>
      <c r="R358" s="210">
        <f>Q358*H358</f>
        <v>8.1180000000000003</v>
      </c>
      <c r="S358" s="210">
        <v>0</v>
      </c>
      <c r="T358" s="211">
        <f>S358*H358</f>
        <v>0</v>
      </c>
      <c r="AR358" s="212" t="s">
        <v>267</v>
      </c>
      <c r="AT358" s="212" t="s">
        <v>678</v>
      </c>
      <c r="AU358" s="212" t="s">
        <v>260</v>
      </c>
      <c r="AY358" s="127" t="s">
        <v>558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27" t="s">
        <v>254</v>
      </c>
      <c r="BK358" s="213">
        <f>ROUND(I358*H358,2)</f>
        <v>0</v>
      </c>
      <c r="BL358" s="127" t="s">
        <v>263</v>
      </c>
      <c r="BM358" s="212" t="s">
        <v>880</v>
      </c>
    </row>
    <row r="359" spans="2:65" s="136" customFormat="1" x14ac:dyDescent="0.25">
      <c r="B359" s="137"/>
      <c r="D359" s="219" t="s">
        <v>1196</v>
      </c>
      <c r="F359" s="351" t="s">
        <v>879</v>
      </c>
      <c r="I359" s="215"/>
      <c r="L359" s="137"/>
      <c r="M359" s="216"/>
      <c r="T359" s="146"/>
      <c r="AT359" s="127" t="s">
        <v>1196</v>
      </c>
      <c r="AU359" s="127" t="s">
        <v>260</v>
      </c>
    </row>
    <row r="360" spans="2:65" s="234" customFormat="1" x14ac:dyDescent="0.25">
      <c r="B360" s="235"/>
      <c r="D360" s="219" t="s">
        <v>567</v>
      </c>
      <c r="E360" s="236" t="s">
        <v>180</v>
      </c>
      <c r="F360" s="237" t="s">
        <v>881</v>
      </c>
      <c r="H360" s="236" t="s">
        <v>180</v>
      </c>
      <c r="I360" s="238"/>
      <c r="L360" s="235"/>
      <c r="M360" s="239"/>
      <c r="T360" s="240"/>
      <c r="AT360" s="236" t="s">
        <v>567</v>
      </c>
      <c r="AU360" s="236" t="s">
        <v>260</v>
      </c>
      <c r="AV360" s="234" t="s">
        <v>254</v>
      </c>
      <c r="AW360" s="234" t="s">
        <v>506</v>
      </c>
      <c r="AX360" s="234" t="s">
        <v>295</v>
      </c>
      <c r="AY360" s="236" t="s">
        <v>558</v>
      </c>
    </row>
    <row r="361" spans="2:65" s="217" customFormat="1" x14ac:dyDescent="0.25">
      <c r="B361" s="218"/>
      <c r="D361" s="219" t="s">
        <v>567</v>
      </c>
      <c r="E361" s="220" t="s">
        <v>180</v>
      </c>
      <c r="F361" s="221" t="s">
        <v>882</v>
      </c>
      <c r="H361" s="222">
        <v>99</v>
      </c>
      <c r="I361" s="223"/>
      <c r="L361" s="218"/>
      <c r="M361" s="224"/>
      <c r="T361" s="225"/>
      <c r="AT361" s="220" t="s">
        <v>567</v>
      </c>
      <c r="AU361" s="220" t="s">
        <v>260</v>
      </c>
      <c r="AV361" s="217" t="s">
        <v>260</v>
      </c>
      <c r="AW361" s="217" t="s">
        <v>506</v>
      </c>
      <c r="AX361" s="217" t="s">
        <v>254</v>
      </c>
      <c r="AY361" s="220" t="s">
        <v>558</v>
      </c>
    </row>
    <row r="362" spans="2:65" s="136" customFormat="1" ht="16.5" customHeight="1" x14ac:dyDescent="0.25">
      <c r="B362" s="137"/>
      <c r="C362" s="241" t="s">
        <v>369</v>
      </c>
      <c r="D362" s="241" t="s">
        <v>678</v>
      </c>
      <c r="E362" s="242" t="s">
        <v>883</v>
      </c>
      <c r="F362" s="243" t="s">
        <v>884</v>
      </c>
      <c r="G362" s="244" t="s">
        <v>35</v>
      </c>
      <c r="H362" s="245">
        <v>139</v>
      </c>
      <c r="I362" s="246"/>
      <c r="J362" s="247">
        <f>ROUND(I362*H362,2)</f>
        <v>0</v>
      </c>
      <c r="K362" s="243" t="s">
        <v>180</v>
      </c>
      <c r="L362" s="248"/>
      <c r="M362" s="249" t="s">
        <v>180</v>
      </c>
      <c r="N362" s="250" t="s">
        <v>513</v>
      </c>
      <c r="P362" s="210">
        <f>O362*H362</f>
        <v>0</v>
      </c>
      <c r="Q362" s="210">
        <v>8.2000000000000003E-2</v>
      </c>
      <c r="R362" s="210">
        <f>Q362*H362</f>
        <v>11.398</v>
      </c>
      <c r="S362" s="210">
        <v>0</v>
      </c>
      <c r="T362" s="211">
        <f>S362*H362</f>
        <v>0</v>
      </c>
      <c r="AR362" s="212" t="s">
        <v>267</v>
      </c>
      <c r="AT362" s="212" t="s">
        <v>678</v>
      </c>
      <c r="AU362" s="212" t="s">
        <v>260</v>
      </c>
      <c r="AY362" s="127" t="s">
        <v>558</v>
      </c>
      <c r="BE362" s="213">
        <f>IF(N362="základní",J362,0)</f>
        <v>0</v>
      </c>
      <c r="BF362" s="213">
        <f>IF(N362="snížená",J362,0)</f>
        <v>0</v>
      </c>
      <c r="BG362" s="213">
        <f>IF(N362="zákl. přenesená",J362,0)</f>
        <v>0</v>
      </c>
      <c r="BH362" s="213">
        <f>IF(N362="sníž. přenesená",J362,0)</f>
        <v>0</v>
      </c>
      <c r="BI362" s="213">
        <f>IF(N362="nulová",J362,0)</f>
        <v>0</v>
      </c>
      <c r="BJ362" s="127" t="s">
        <v>254</v>
      </c>
      <c r="BK362" s="213">
        <f>ROUND(I362*H362,2)</f>
        <v>0</v>
      </c>
      <c r="BL362" s="127" t="s">
        <v>263</v>
      </c>
      <c r="BM362" s="212" t="s">
        <v>885</v>
      </c>
    </row>
    <row r="363" spans="2:65" s="136" customFormat="1" x14ac:dyDescent="0.25">
      <c r="B363" s="137"/>
      <c r="D363" s="219" t="s">
        <v>1196</v>
      </c>
      <c r="F363" s="351" t="s">
        <v>884</v>
      </c>
      <c r="I363" s="215"/>
      <c r="L363" s="137"/>
      <c r="M363" s="216"/>
      <c r="T363" s="146"/>
      <c r="AT363" s="127" t="s">
        <v>1196</v>
      </c>
      <c r="AU363" s="127" t="s">
        <v>260</v>
      </c>
    </row>
    <row r="364" spans="2:65" s="234" customFormat="1" x14ac:dyDescent="0.25">
      <c r="B364" s="235"/>
      <c r="D364" s="219" t="s">
        <v>567</v>
      </c>
      <c r="E364" s="236" t="s">
        <v>180</v>
      </c>
      <c r="F364" s="237" t="s">
        <v>881</v>
      </c>
      <c r="H364" s="236" t="s">
        <v>180</v>
      </c>
      <c r="I364" s="238"/>
      <c r="L364" s="235"/>
      <c r="M364" s="239"/>
      <c r="T364" s="240"/>
      <c r="AT364" s="236" t="s">
        <v>567</v>
      </c>
      <c r="AU364" s="236" t="s">
        <v>260</v>
      </c>
      <c r="AV364" s="234" t="s">
        <v>254</v>
      </c>
      <c r="AW364" s="234" t="s">
        <v>506</v>
      </c>
      <c r="AX364" s="234" t="s">
        <v>295</v>
      </c>
      <c r="AY364" s="236" t="s">
        <v>558</v>
      </c>
    </row>
    <row r="365" spans="2:65" s="217" customFormat="1" x14ac:dyDescent="0.25">
      <c r="B365" s="218"/>
      <c r="D365" s="219" t="s">
        <v>567</v>
      </c>
      <c r="E365" s="220" t="s">
        <v>180</v>
      </c>
      <c r="F365" s="221" t="s">
        <v>886</v>
      </c>
      <c r="H365" s="222">
        <v>139</v>
      </c>
      <c r="I365" s="223"/>
      <c r="L365" s="218"/>
      <c r="M365" s="224"/>
      <c r="T365" s="225"/>
      <c r="AT365" s="220" t="s">
        <v>567</v>
      </c>
      <c r="AU365" s="220" t="s">
        <v>260</v>
      </c>
      <c r="AV365" s="217" t="s">
        <v>260</v>
      </c>
      <c r="AW365" s="217" t="s">
        <v>506</v>
      </c>
      <c r="AX365" s="217" t="s">
        <v>254</v>
      </c>
      <c r="AY365" s="220" t="s">
        <v>558</v>
      </c>
    </row>
    <row r="366" spans="2:65" s="136" customFormat="1" ht="16.5" customHeight="1" x14ac:dyDescent="0.25">
      <c r="B366" s="137"/>
      <c r="C366" s="241" t="s">
        <v>370</v>
      </c>
      <c r="D366" s="241" t="s">
        <v>678</v>
      </c>
      <c r="E366" s="242" t="s">
        <v>887</v>
      </c>
      <c r="F366" s="243" t="s">
        <v>888</v>
      </c>
      <c r="G366" s="244" t="s">
        <v>35</v>
      </c>
      <c r="H366" s="245">
        <v>16</v>
      </c>
      <c r="I366" s="246"/>
      <c r="J366" s="247">
        <f>ROUND(I366*H366,2)</f>
        <v>0</v>
      </c>
      <c r="K366" s="243" t="s">
        <v>180</v>
      </c>
      <c r="L366" s="248"/>
      <c r="M366" s="249" t="s">
        <v>180</v>
      </c>
      <c r="N366" s="250" t="s">
        <v>513</v>
      </c>
      <c r="P366" s="210">
        <f>O366*H366</f>
        <v>0</v>
      </c>
      <c r="Q366" s="210">
        <v>8.2000000000000003E-2</v>
      </c>
      <c r="R366" s="210">
        <f>Q366*H366</f>
        <v>1.3120000000000001</v>
      </c>
      <c r="S366" s="210">
        <v>0</v>
      </c>
      <c r="T366" s="211">
        <f>S366*H366</f>
        <v>0</v>
      </c>
      <c r="AR366" s="212" t="s">
        <v>267</v>
      </c>
      <c r="AT366" s="212" t="s">
        <v>678</v>
      </c>
      <c r="AU366" s="212" t="s">
        <v>260</v>
      </c>
      <c r="AY366" s="127" t="s">
        <v>558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127" t="s">
        <v>254</v>
      </c>
      <c r="BK366" s="213">
        <f>ROUND(I366*H366,2)</f>
        <v>0</v>
      </c>
      <c r="BL366" s="127" t="s">
        <v>263</v>
      </c>
      <c r="BM366" s="212" t="s">
        <v>889</v>
      </c>
    </row>
    <row r="367" spans="2:65" s="136" customFormat="1" x14ac:dyDescent="0.25">
      <c r="B367" s="137"/>
      <c r="D367" s="219" t="s">
        <v>1196</v>
      </c>
      <c r="F367" s="351" t="s">
        <v>888</v>
      </c>
      <c r="I367" s="215"/>
      <c r="L367" s="137"/>
      <c r="M367" s="216"/>
      <c r="T367" s="146"/>
      <c r="AT367" s="127" t="s">
        <v>1196</v>
      </c>
      <c r="AU367" s="127" t="s">
        <v>260</v>
      </c>
    </row>
    <row r="368" spans="2:65" s="234" customFormat="1" x14ac:dyDescent="0.25">
      <c r="B368" s="235"/>
      <c r="D368" s="219" t="s">
        <v>567</v>
      </c>
      <c r="E368" s="236" t="s">
        <v>180</v>
      </c>
      <c r="F368" s="237" t="s">
        <v>881</v>
      </c>
      <c r="H368" s="236" t="s">
        <v>180</v>
      </c>
      <c r="I368" s="238"/>
      <c r="L368" s="235"/>
      <c r="M368" s="239"/>
      <c r="T368" s="240"/>
      <c r="AT368" s="236" t="s">
        <v>567</v>
      </c>
      <c r="AU368" s="236" t="s">
        <v>260</v>
      </c>
      <c r="AV368" s="234" t="s">
        <v>254</v>
      </c>
      <c r="AW368" s="234" t="s">
        <v>506</v>
      </c>
      <c r="AX368" s="234" t="s">
        <v>295</v>
      </c>
      <c r="AY368" s="236" t="s">
        <v>558</v>
      </c>
    </row>
    <row r="369" spans="2:65" s="217" customFormat="1" x14ac:dyDescent="0.25">
      <c r="B369" s="218"/>
      <c r="D369" s="219" t="s">
        <v>567</v>
      </c>
      <c r="E369" s="220" t="s">
        <v>180</v>
      </c>
      <c r="F369" s="221" t="s">
        <v>890</v>
      </c>
      <c r="H369" s="222">
        <v>16</v>
      </c>
      <c r="I369" s="223"/>
      <c r="L369" s="218"/>
      <c r="M369" s="224"/>
      <c r="T369" s="225"/>
      <c r="AT369" s="220" t="s">
        <v>567</v>
      </c>
      <c r="AU369" s="220" t="s">
        <v>260</v>
      </c>
      <c r="AV369" s="217" t="s">
        <v>260</v>
      </c>
      <c r="AW369" s="217" t="s">
        <v>506</v>
      </c>
      <c r="AX369" s="217" t="s">
        <v>254</v>
      </c>
      <c r="AY369" s="220" t="s">
        <v>558</v>
      </c>
    </row>
    <row r="370" spans="2:65" s="136" customFormat="1" ht="16.5" customHeight="1" x14ac:dyDescent="0.25">
      <c r="B370" s="137"/>
      <c r="C370" s="241" t="s">
        <v>371</v>
      </c>
      <c r="D370" s="241" t="s">
        <v>678</v>
      </c>
      <c r="E370" s="242" t="s">
        <v>891</v>
      </c>
      <c r="F370" s="243" t="s">
        <v>892</v>
      </c>
      <c r="G370" s="244" t="s">
        <v>35</v>
      </c>
      <c r="H370" s="245">
        <v>106</v>
      </c>
      <c r="I370" s="246"/>
      <c r="J370" s="247">
        <f>ROUND(I370*H370,2)</f>
        <v>0</v>
      </c>
      <c r="K370" s="243" t="s">
        <v>180</v>
      </c>
      <c r="L370" s="248"/>
      <c r="M370" s="249" t="s">
        <v>180</v>
      </c>
      <c r="N370" s="250" t="s">
        <v>513</v>
      </c>
      <c r="P370" s="210">
        <f>O370*H370</f>
        <v>0</v>
      </c>
      <c r="Q370" s="210">
        <v>8.2000000000000003E-2</v>
      </c>
      <c r="R370" s="210">
        <f>Q370*H370</f>
        <v>8.6920000000000002</v>
      </c>
      <c r="S370" s="210">
        <v>0</v>
      </c>
      <c r="T370" s="211">
        <f>S370*H370</f>
        <v>0</v>
      </c>
      <c r="AR370" s="212" t="s">
        <v>267</v>
      </c>
      <c r="AT370" s="212" t="s">
        <v>678</v>
      </c>
      <c r="AU370" s="212" t="s">
        <v>260</v>
      </c>
      <c r="AY370" s="127" t="s">
        <v>558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127" t="s">
        <v>254</v>
      </c>
      <c r="BK370" s="213">
        <f>ROUND(I370*H370,2)</f>
        <v>0</v>
      </c>
      <c r="BL370" s="127" t="s">
        <v>263</v>
      </c>
      <c r="BM370" s="212" t="s">
        <v>893</v>
      </c>
    </row>
    <row r="371" spans="2:65" s="136" customFormat="1" x14ac:dyDescent="0.25">
      <c r="B371" s="137"/>
      <c r="D371" s="219" t="s">
        <v>1196</v>
      </c>
      <c r="F371" s="351" t="s">
        <v>892</v>
      </c>
      <c r="I371" s="215"/>
      <c r="L371" s="137"/>
      <c r="M371" s="216"/>
      <c r="T371" s="146"/>
      <c r="AT371" s="127" t="s">
        <v>1196</v>
      </c>
      <c r="AU371" s="127" t="s">
        <v>260</v>
      </c>
    </row>
    <row r="372" spans="2:65" s="234" customFormat="1" x14ac:dyDescent="0.25">
      <c r="B372" s="235"/>
      <c r="D372" s="219" t="s">
        <v>567</v>
      </c>
      <c r="E372" s="236" t="s">
        <v>180</v>
      </c>
      <c r="F372" s="237" t="s">
        <v>881</v>
      </c>
      <c r="H372" s="236" t="s">
        <v>180</v>
      </c>
      <c r="I372" s="238"/>
      <c r="L372" s="235"/>
      <c r="M372" s="239"/>
      <c r="T372" s="240"/>
      <c r="AT372" s="236" t="s">
        <v>567</v>
      </c>
      <c r="AU372" s="236" t="s">
        <v>260</v>
      </c>
      <c r="AV372" s="234" t="s">
        <v>254</v>
      </c>
      <c r="AW372" s="234" t="s">
        <v>506</v>
      </c>
      <c r="AX372" s="234" t="s">
        <v>295</v>
      </c>
      <c r="AY372" s="236" t="s">
        <v>558</v>
      </c>
    </row>
    <row r="373" spans="2:65" s="217" customFormat="1" x14ac:dyDescent="0.25">
      <c r="B373" s="218"/>
      <c r="D373" s="219" t="s">
        <v>567</v>
      </c>
      <c r="E373" s="220" t="s">
        <v>180</v>
      </c>
      <c r="F373" s="221" t="s">
        <v>894</v>
      </c>
      <c r="H373" s="222">
        <v>106</v>
      </c>
      <c r="I373" s="223"/>
      <c r="L373" s="218"/>
      <c r="M373" s="224"/>
      <c r="T373" s="225"/>
      <c r="AT373" s="220" t="s">
        <v>567</v>
      </c>
      <c r="AU373" s="220" t="s">
        <v>260</v>
      </c>
      <c r="AV373" s="217" t="s">
        <v>260</v>
      </c>
      <c r="AW373" s="217" t="s">
        <v>506</v>
      </c>
      <c r="AX373" s="217" t="s">
        <v>254</v>
      </c>
      <c r="AY373" s="220" t="s">
        <v>558</v>
      </c>
    </row>
    <row r="374" spans="2:65" s="136" customFormat="1" ht="21.75" customHeight="1" x14ac:dyDescent="0.25">
      <c r="B374" s="137"/>
      <c r="C374" s="201" t="s">
        <v>373</v>
      </c>
      <c r="D374" s="201" t="s">
        <v>560</v>
      </c>
      <c r="E374" s="202" t="s">
        <v>895</v>
      </c>
      <c r="F374" s="203" t="s">
        <v>1242</v>
      </c>
      <c r="G374" s="204" t="s">
        <v>35</v>
      </c>
      <c r="H374" s="205">
        <v>188.2</v>
      </c>
      <c r="I374" s="206"/>
      <c r="J374" s="207">
        <f>ROUND(I374*H374,2)</f>
        <v>0</v>
      </c>
      <c r="K374" s="203" t="s">
        <v>563</v>
      </c>
      <c r="L374" s="137"/>
      <c r="M374" s="208" t="s">
        <v>180</v>
      </c>
      <c r="N374" s="209" t="s">
        <v>513</v>
      </c>
      <c r="P374" s="210">
        <f>O374*H374</f>
        <v>0</v>
      </c>
      <c r="Q374" s="210">
        <v>6.0999999999999997E-4</v>
      </c>
      <c r="R374" s="210">
        <f>Q374*H374</f>
        <v>0.11480199999999999</v>
      </c>
      <c r="S374" s="210">
        <v>0</v>
      </c>
      <c r="T374" s="211">
        <f>S374*H374</f>
        <v>0</v>
      </c>
      <c r="AR374" s="212" t="s">
        <v>263</v>
      </c>
      <c r="AT374" s="212" t="s">
        <v>560</v>
      </c>
      <c r="AU374" s="212" t="s">
        <v>260</v>
      </c>
      <c r="AY374" s="127" t="s">
        <v>558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27" t="s">
        <v>254</v>
      </c>
      <c r="BK374" s="213">
        <f>ROUND(I374*H374,2)</f>
        <v>0</v>
      </c>
      <c r="BL374" s="127" t="s">
        <v>263</v>
      </c>
      <c r="BM374" s="212" t="s">
        <v>897</v>
      </c>
    </row>
    <row r="375" spans="2:65" s="136" customFormat="1" ht="19.5" x14ac:dyDescent="0.25">
      <c r="B375" s="137"/>
      <c r="D375" s="219" t="s">
        <v>1196</v>
      </c>
      <c r="F375" s="351" t="s">
        <v>896</v>
      </c>
      <c r="I375" s="215"/>
      <c r="L375" s="137"/>
      <c r="M375" s="216"/>
      <c r="T375" s="146"/>
      <c r="AT375" s="127" t="s">
        <v>1196</v>
      </c>
      <c r="AU375" s="127" t="s">
        <v>260</v>
      </c>
    </row>
    <row r="376" spans="2:65" s="136" customFormat="1" x14ac:dyDescent="0.25">
      <c r="B376" s="137"/>
      <c r="D376" s="214" t="s">
        <v>565</v>
      </c>
      <c r="F376" s="288" t="s">
        <v>898</v>
      </c>
      <c r="I376" s="215"/>
      <c r="L376" s="137"/>
      <c r="M376" s="216"/>
      <c r="T376" s="146"/>
      <c r="AT376" s="127" t="s">
        <v>565</v>
      </c>
      <c r="AU376" s="127" t="s">
        <v>260</v>
      </c>
    </row>
    <row r="377" spans="2:65" s="217" customFormat="1" x14ac:dyDescent="0.25">
      <c r="B377" s="218"/>
      <c r="D377" s="219" t="s">
        <v>567</v>
      </c>
      <c r="E377" s="220" t="s">
        <v>180</v>
      </c>
      <c r="F377" s="221" t="s">
        <v>899</v>
      </c>
      <c r="H377" s="222">
        <v>188.2</v>
      </c>
      <c r="I377" s="223"/>
      <c r="L377" s="218"/>
      <c r="M377" s="224"/>
      <c r="T377" s="225"/>
      <c r="AT377" s="220" t="s">
        <v>567</v>
      </c>
      <c r="AU377" s="220" t="s">
        <v>260</v>
      </c>
      <c r="AV377" s="217" t="s">
        <v>260</v>
      </c>
      <c r="AW377" s="217" t="s">
        <v>506</v>
      </c>
      <c r="AX377" s="217" t="s">
        <v>254</v>
      </c>
      <c r="AY377" s="220" t="s">
        <v>558</v>
      </c>
    </row>
    <row r="378" spans="2:65" s="136" customFormat="1" ht="16.5" customHeight="1" x14ac:dyDescent="0.25">
      <c r="B378" s="137"/>
      <c r="C378" s="201" t="s">
        <v>375</v>
      </c>
      <c r="D378" s="201" t="s">
        <v>560</v>
      </c>
      <c r="E378" s="202" t="s">
        <v>900</v>
      </c>
      <c r="F378" s="203" t="s">
        <v>1243</v>
      </c>
      <c r="G378" s="204" t="s">
        <v>35</v>
      </c>
      <c r="H378" s="205">
        <v>188.2</v>
      </c>
      <c r="I378" s="206"/>
      <c r="J378" s="207">
        <f>ROUND(I378*H378,2)</f>
        <v>0</v>
      </c>
      <c r="K378" s="203" t="s">
        <v>563</v>
      </c>
      <c r="L378" s="137"/>
      <c r="M378" s="208" t="s">
        <v>180</v>
      </c>
      <c r="N378" s="209" t="s">
        <v>513</v>
      </c>
      <c r="P378" s="210">
        <f>O378*H378</f>
        <v>0</v>
      </c>
      <c r="Q378" s="210">
        <v>0</v>
      </c>
      <c r="R378" s="210">
        <f>Q378*H378</f>
        <v>0</v>
      </c>
      <c r="S378" s="210">
        <v>0</v>
      </c>
      <c r="T378" s="211">
        <f>S378*H378</f>
        <v>0</v>
      </c>
      <c r="AR378" s="212" t="s">
        <v>263</v>
      </c>
      <c r="AT378" s="212" t="s">
        <v>560</v>
      </c>
      <c r="AU378" s="212" t="s">
        <v>260</v>
      </c>
      <c r="AY378" s="127" t="s">
        <v>558</v>
      </c>
      <c r="BE378" s="213">
        <f>IF(N378="základní",J378,0)</f>
        <v>0</v>
      </c>
      <c r="BF378" s="213">
        <f>IF(N378="snížená",J378,0)</f>
        <v>0</v>
      </c>
      <c r="BG378" s="213">
        <f>IF(N378="zákl. přenesená",J378,0)</f>
        <v>0</v>
      </c>
      <c r="BH378" s="213">
        <f>IF(N378="sníž. přenesená",J378,0)</f>
        <v>0</v>
      </c>
      <c r="BI378" s="213">
        <f>IF(N378="nulová",J378,0)</f>
        <v>0</v>
      </c>
      <c r="BJ378" s="127" t="s">
        <v>254</v>
      </c>
      <c r="BK378" s="213">
        <f>ROUND(I378*H378,2)</f>
        <v>0</v>
      </c>
      <c r="BL378" s="127" t="s">
        <v>263</v>
      </c>
      <c r="BM378" s="212" t="s">
        <v>902</v>
      </c>
    </row>
    <row r="379" spans="2:65" s="136" customFormat="1" x14ac:dyDescent="0.25">
      <c r="B379" s="137"/>
      <c r="D379" s="219" t="s">
        <v>1196</v>
      </c>
      <c r="F379" s="351" t="s">
        <v>901</v>
      </c>
      <c r="I379" s="215"/>
      <c r="L379" s="137"/>
      <c r="M379" s="216"/>
      <c r="T379" s="146"/>
      <c r="AT379" s="127" t="s">
        <v>1196</v>
      </c>
      <c r="AU379" s="127" t="s">
        <v>260</v>
      </c>
    </row>
    <row r="380" spans="2:65" s="136" customFormat="1" x14ac:dyDescent="0.25">
      <c r="B380" s="137"/>
      <c r="D380" s="214" t="s">
        <v>565</v>
      </c>
      <c r="F380" s="288" t="s">
        <v>903</v>
      </c>
      <c r="I380" s="215"/>
      <c r="L380" s="137"/>
      <c r="M380" s="216"/>
      <c r="T380" s="146"/>
      <c r="AT380" s="127" t="s">
        <v>565</v>
      </c>
      <c r="AU380" s="127" t="s">
        <v>260</v>
      </c>
    </row>
    <row r="381" spans="2:65" s="217" customFormat="1" x14ac:dyDescent="0.25">
      <c r="B381" s="218"/>
      <c r="D381" s="219" t="s">
        <v>567</v>
      </c>
      <c r="E381" s="220" t="s">
        <v>180</v>
      </c>
      <c r="F381" s="221" t="s">
        <v>899</v>
      </c>
      <c r="H381" s="222">
        <v>188.2</v>
      </c>
      <c r="I381" s="223"/>
      <c r="L381" s="218"/>
      <c r="M381" s="224"/>
      <c r="T381" s="225"/>
      <c r="AT381" s="220" t="s">
        <v>567</v>
      </c>
      <c r="AU381" s="220" t="s">
        <v>260</v>
      </c>
      <c r="AV381" s="217" t="s">
        <v>260</v>
      </c>
      <c r="AW381" s="217" t="s">
        <v>506</v>
      </c>
      <c r="AX381" s="217" t="s">
        <v>254</v>
      </c>
      <c r="AY381" s="220" t="s">
        <v>558</v>
      </c>
    </row>
    <row r="382" spans="2:65" s="136" customFormat="1" ht="16.5" customHeight="1" x14ac:dyDescent="0.25">
      <c r="B382" s="137"/>
      <c r="C382" s="201" t="s">
        <v>377</v>
      </c>
      <c r="D382" s="201" t="s">
        <v>560</v>
      </c>
      <c r="E382" s="202" t="s">
        <v>904</v>
      </c>
      <c r="F382" s="203" t="s">
        <v>1244</v>
      </c>
      <c r="G382" s="204" t="s">
        <v>261</v>
      </c>
      <c r="H382" s="205">
        <v>3</v>
      </c>
      <c r="I382" s="206"/>
      <c r="J382" s="207">
        <f>ROUND(I382*H382,2)</f>
        <v>0</v>
      </c>
      <c r="K382" s="203" t="s">
        <v>563</v>
      </c>
      <c r="L382" s="137"/>
      <c r="M382" s="208" t="s">
        <v>180</v>
      </c>
      <c r="N382" s="209" t="s">
        <v>513</v>
      </c>
      <c r="P382" s="210">
        <f>O382*H382</f>
        <v>0</v>
      </c>
      <c r="Q382" s="210">
        <v>0</v>
      </c>
      <c r="R382" s="210">
        <f>Q382*H382</f>
        <v>0</v>
      </c>
      <c r="S382" s="210">
        <v>8.2000000000000003E-2</v>
      </c>
      <c r="T382" s="211">
        <f>S382*H382</f>
        <v>0.246</v>
      </c>
      <c r="AR382" s="212" t="s">
        <v>263</v>
      </c>
      <c r="AT382" s="212" t="s">
        <v>560</v>
      </c>
      <c r="AU382" s="212" t="s">
        <v>260</v>
      </c>
      <c r="AY382" s="127" t="s">
        <v>558</v>
      </c>
      <c r="BE382" s="213">
        <f>IF(N382="základní",J382,0)</f>
        <v>0</v>
      </c>
      <c r="BF382" s="213">
        <f>IF(N382="snížená",J382,0)</f>
        <v>0</v>
      </c>
      <c r="BG382" s="213">
        <f>IF(N382="zákl. přenesená",J382,0)</f>
        <v>0</v>
      </c>
      <c r="BH382" s="213">
        <f>IF(N382="sníž. přenesená",J382,0)</f>
        <v>0</v>
      </c>
      <c r="BI382" s="213">
        <f>IF(N382="nulová",J382,0)</f>
        <v>0</v>
      </c>
      <c r="BJ382" s="127" t="s">
        <v>254</v>
      </c>
      <c r="BK382" s="213">
        <f>ROUND(I382*H382,2)</f>
        <v>0</v>
      </c>
      <c r="BL382" s="127" t="s">
        <v>263</v>
      </c>
      <c r="BM382" s="212" t="s">
        <v>906</v>
      </c>
    </row>
    <row r="383" spans="2:65" s="136" customFormat="1" ht="19.5" x14ac:dyDescent="0.25">
      <c r="B383" s="137"/>
      <c r="D383" s="219" t="s">
        <v>1196</v>
      </c>
      <c r="F383" s="351" t="s">
        <v>905</v>
      </c>
      <c r="I383" s="215"/>
      <c r="L383" s="137"/>
      <c r="M383" s="216"/>
      <c r="T383" s="146"/>
      <c r="AT383" s="127" t="s">
        <v>1196</v>
      </c>
      <c r="AU383" s="127" t="s">
        <v>260</v>
      </c>
    </row>
    <row r="384" spans="2:65" s="136" customFormat="1" x14ac:dyDescent="0.25">
      <c r="B384" s="137"/>
      <c r="D384" s="214" t="s">
        <v>565</v>
      </c>
      <c r="F384" s="288" t="s">
        <v>907</v>
      </c>
      <c r="I384" s="215"/>
      <c r="L384" s="137"/>
      <c r="M384" s="216"/>
      <c r="T384" s="146"/>
      <c r="AT384" s="127" t="s">
        <v>565</v>
      </c>
      <c r="AU384" s="127" t="s">
        <v>260</v>
      </c>
    </row>
    <row r="385" spans="2:65" s="217" customFormat="1" x14ac:dyDescent="0.25">
      <c r="B385" s="218"/>
      <c r="D385" s="219" t="s">
        <v>567</v>
      </c>
      <c r="E385" s="220" t="s">
        <v>180</v>
      </c>
      <c r="F385" s="221" t="s">
        <v>908</v>
      </c>
      <c r="H385" s="222">
        <v>3</v>
      </c>
      <c r="I385" s="223"/>
      <c r="L385" s="218"/>
      <c r="M385" s="224"/>
      <c r="T385" s="225"/>
      <c r="AT385" s="220" t="s">
        <v>567</v>
      </c>
      <c r="AU385" s="220" t="s">
        <v>260</v>
      </c>
      <c r="AV385" s="217" t="s">
        <v>260</v>
      </c>
      <c r="AW385" s="217" t="s">
        <v>506</v>
      </c>
      <c r="AX385" s="217" t="s">
        <v>254</v>
      </c>
      <c r="AY385" s="220" t="s">
        <v>558</v>
      </c>
    </row>
    <row r="386" spans="2:65" s="136" customFormat="1" ht="16.5" customHeight="1" x14ac:dyDescent="0.25">
      <c r="B386" s="137"/>
      <c r="C386" s="201" t="s">
        <v>378</v>
      </c>
      <c r="D386" s="201" t="s">
        <v>560</v>
      </c>
      <c r="E386" s="202" t="s">
        <v>909</v>
      </c>
      <c r="F386" s="203" t="s">
        <v>1245</v>
      </c>
      <c r="G386" s="204" t="s">
        <v>261</v>
      </c>
      <c r="H386" s="205">
        <v>5</v>
      </c>
      <c r="I386" s="206"/>
      <c r="J386" s="207">
        <f>ROUND(I386*H386,2)</f>
        <v>0</v>
      </c>
      <c r="K386" s="203" t="s">
        <v>563</v>
      </c>
      <c r="L386" s="137"/>
      <c r="M386" s="208" t="s">
        <v>180</v>
      </c>
      <c r="N386" s="209" t="s">
        <v>513</v>
      </c>
      <c r="P386" s="210">
        <f>O386*H386</f>
        <v>0</v>
      </c>
      <c r="Q386" s="210">
        <v>0</v>
      </c>
      <c r="R386" s="210">
        <f>Q386*H386</f>
        <v>0</v>
      </c>
      <c r="S386" s="210">
        <v>4.0000000000000001E-3</v>
      </c>
      <c r="T386" s="211">
        <f>S386*H386</f>
        <v>0.02</v>
      </c>
      <c r="AR386" s="212" t="s">
        <v>263</v>
      </c>
      <c r="AT386" s="212" t="s">
        <v>560</v>
      </c>
      <c r="AU386" s="212" t="s">
        <v>260</v>
      </c>
      <c r="AY386" s="127" t="s">
        <v>558</v>
      </c>
      <c r="BE386" s="213">
        <f>IF(N386="základní",J386,0)</f>
        <v>0</v>
      </c>
      <c r="BF386" s="213">
        <f>IF(N386="snížená",J386,0)</f>
        <v>0</v>
      </c>
      <c r="BG386" s="213">
        <f>IF(N386="zákl. přenesená",J386,0)</f>
        <v>0</v>
      </c>
      <c r="BH386" s="213">
        <f>IF(N386="sníž. přenesená",J386,0)</f>
        <v>0</v>
      </c>
      <c r="BI386" s="213">
        <f>IF(N386="nulová",J386,0)</f>
        <v>0</v>
      </c>
      <c r="BJ386" s="127" t="s">
        <v>254</v>
      </c>
      <c r="BK386" s="213">
        <f>ROUND(I386*H386,2)</f>
        <v>0</v>
      </c>
      <c r="BL386" s="127" t="s">
        <v>263</v>
      </c>
      <c r="BM386" s="212" t="s">
        <v>911</v>
      </c>
    </row>
    <row r="387" spans="2:65" s="136" customFormat="1" ht="19.5" x14ac:dyDescent="0.25">
      <c r="B387" s="137"/>
      <c r="D387" s="219" t="s">
        <v>1196</v>
      </c>
      <c r="F387" s="351" t="s">
        <v>910</v>
      </c>
      <c r="I387" s="215"/>
      <c r="L387" s="137"/>
      <c r="M387" s="216"/>
      <c r="T387" s="146"/>
      <c r="AT387" s="127" t="s">
        <v>1196</v>
      </c>
      <c r="AU387" s="127" t="s">
        <v>260</v>
      </c>
    </row>
    <row r="388" spans="2:65" s="136" customFormat="1" x14ac:dyDescent="0.25">
      <c r="B388" s="137"/>
      <c r="D388" s="214" t="s">
        <v>565</v>
      </c>
      <c r="F388" s="288" t="s">
        <v>912</v>
      </c>
      <c r="I388" s="215"/>
      <c r="L388" s="137"/>
      <c r="M388" s="216"/>
      <c r="T388" s="146"/>
      <c r="AT388" s="127" t="s">
        <v>565</v>
      </c>
      <c r="AU388" s="127" t="s">
        <v>260</v>
      </c>
    </row>
    <row r="389" spans="2:65" s="217" customFormat="1" x14ac:dyDescent="0.25">
      <c r="B389" s="218"/>
      <c r="D389" s="219" t="s">
        <v>567</v>
      </c>
      <c r="E389" s="220" t="s">
        <v>180</v>
      </c>
      <c r="F389" s="221" t="s">
        <v>913</v>
      </c>
      <c r="H389" s="222">
        <v>5</v>
      </c>
      <c r="I389" s="223"/>
      <c r="L389" s="218"/>
      <c r="M389" s="224"/>
      <c r="T389" s="225"/>
      <c r="AT389" s="220" t="s">
        <v>567</v>
      </c>
      <c r="AU389" s="220" t="s">
        <v>260</v>
      </c>
      <c r="AV389" s="217" t="s">
        <v>260</v>
      </c>
      <c r="AW389" s="217" t="s">
        <v>506</v>
      </c>
      <c r="AX389" s="217" t="s">
        <v>254</v>
      </c>
      <c r="AY389" s="220" t="s">
        <v>558</v>
      </c>
    </row>
    <row r="390" spans="2:65" s="188" customFormat="1" ht="22.9" customHeight="1" x14ac:dyDescent="0.2">
      <c r="B390" s="189"/>
      <c r="D390" s="190" t="s">
        <v>523</v>
      </c>
      <c r="E390" s="199" t="s">
        <v>914</v>
      </c>
      <c r="F390" s="199" t="s">
        <v>915</v>
      </c>
      <c r="I390" s="192"/>
      <c r="J390" s="200">
        <f>BK390</f>
        <v>0</v>
      </c>
      <c r="L390" s="189"/>
      <c r="M390" s="194"/>
      <c r="P390" s="195">
        <f>SUM(P391:P434)</f>
        <v>0</v>
      </c>
      <c r="R390" s="195">
        <f>SUM(R391:R434)</f>
        <v>0</v>
      </c>
      <c r="T390" s="196">
        <f>SUM(T391:T434)</f>
        <v>0</v>
      </c>
      <c r="AR390" s="190" t="s">
        <v>254</v>
      </c>
      <c r="AT390" s="197" t="s">
        <v>523</v>
      </c>
      <c r="AU390" s="197" t="s">
        <v>254</v>
      </c>
      <c r="AY390" s="190" t="s">
        <v>558</v>
      </c>
      <c r="BK390" s="198">
        <f>SUM(BK391:BK434)</f>
        <v>0</v>
      </c>
    </row>
    <row r="391" spans="2:65" s="136" customFormat="1" ht="24.2" customHeight="1" x14ac:dyDescent="0.25">
      <c r="B391" s="137"/>
      <c r="C391" s="201" t="s">
        <v>381</v>
      </c>
      <c r="D391" s="201" t="s">
        <v>560</v>
      </c>
      <c r="E391" s="202" t="s">
        <v>916</v>
      </c>
      <c r="F391" s="203" t="s">
        <v>1246</v>
      </c>
      <c r="G391" s="204" t="s">
        <v>43</v>
      </c>
      <c r="H391" s="205">
        <v>127.035</v>
      </c>
      <c r="I391" s="206"/>
      <c r="J391" s="207">
        <f>ROUND(I391*H391,2)</f>
        <v>0</v>
      </c>
      <c r="K391" s="203" t="s">
        <v>563</v>
      </c>
      <c r="L391" s="137"/>
      <c r="M391" s="208" t="s">
        <v>180</v>
      </c>
      <c r="N391" s="209" t="s">
        <v>513</v>
      </c>
      <c r="P391" s="210">
        <f>O391*H391</f>
        <v>0</v>
      </c>
      <c r="Q391" s="210">
        <v>0</v>
      </c>
      <c r="R391" s="210">
        <f>Q391*H391</f>
        <v>0</v>
      </c>
      <c r="S391" s="210">
        <v>0</v>
      </c>
      <c r="T391" s="211">
        <f>S391*H391</f>
        <v>0</v>
      </c>
      <c r="AR391" s="212" t="s">
        <v>263</v>
      </c>
      <c r="AT391" s="212" t="s">
        <v>560</v>
      </c>
      <c r="AU391" s="212" t="s">
        <v>260</v>
      </c>
      <c r="AY391" s="127" t="s">
        <v>558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127" t="s">
        <v>254</v>
      </c>
      <c r="BK391" s="213">
        <f>ROUND(I391*H391,2)</f>
        <v>0</v>
      </c>
      <c r="BL391" s="127" t="s">
        <v>263</v>
      </c>
      <c r="BM391" s="212" t="s">
        <v>918</v>
      </c>
    </row>
    <row r="392" spans="2:65" s="136" customFormat="1" ht="19.5" x14ac:dyDescent="0.25">
      <c r="B392" s="137"/>
      <c r="D392" s="219" t="s">
        <v>1196</v>
      </c>
      <c r="F392" s="351" t="s">
        <v>917</v>
      </c>
      <c r="I392" s="215"/>
      <c r="L392" s="137"/>
      <c r="M392" s="216"/>
      <c r="T392" s="146"/>
      <c r="AT392" s="127" t="s">
        <v>1196</v>
      </c>
      <c r="AU392" s="127" t="s">
        <v>260</v>
      </c>
    </row>
    <row r="393" spans="2:65" s="136" customFormat="1" x14ac:dyDescent="0.25">
      <c r="B393" s="137"/>
      <c r="D393" s="214" t="s">
        <v>565</v>
      </c>
      <c r="F393" s="288" t="s">
        <v>919</v>
      </c>
      <c r="I393" s="215"/>
      <c r="L393" s="137"/>
      <c r="M393" s="216"/>
      <c r="T393" s="146"/>
      <c r="AT393" s="127" t="s">
        <v>565</v>
      </c>
      <c r="AU393" s="127" t="s">
        <v>260</v>
      </c>
    </row>
    <row r="394" spans="2:65" s="217" customFormat="1" x14ac:dyDescent="0.25">
      <c r="B394" s="218"/>
      <c r="D394" s="219" t="s">
        <v>567</v>
      </c>
      <c r="E394" s="220" t="s">
        <v>180</v>
      </c>
      <c r="F394" s="221" t="s">
        <v>920</v>
      </c>
      <c r="H394" s="222">
        <v>127.035</v>
      </c>
      <c r="I394" s="223"/>
      <c r="L394" s="218"/>
      <c r="M394" s="224"/>
      <c r="T394" s="225"/>
      <c r="AT394" s="220" t="s">
        <v>567</v>
      </c>
      <c r="AU394" s="220" t="s">
        <v>260</v>
      </c>
      <c r="AV394" s="217" t="s">
        <v>260</v>
      </c>
      <c r="AW394" s="217" t="s">
        <v>506</v>
      </c>
      <c r="AX394" s="217" t="s">
        <v>254</v>
      </c>
      <c r="AY394" s="220" t="s">
        <v>558</v>
      </c>
    </row>
    <row r="395" spans="2:65" s="136" customFormat="1" ht="24.2" customHeight="1" x14ac:dyDescent="0.25">
      <c r="B395" s="137"/>
      <c r="C395" s="201" t="s">
        <v>382</v>
      </c>
      <c r="D395" s="201" t="s">
        <v>560</v>
      </c>
      <c r="E395" s="202" t="s">
        <v>921</v>
      </c>
      <c r="F395" s="203" t="s">
        <v>664</v>
      </c>
      <c r="G395" s="204" t="s">
        <v>43</v>
      </c>
      <c r="H395" s="205">
        <v>903.1</v>
      </c>
      <c r="I395" s="206"/>
      <c r="J395" s="207">
        <f>ROUND(I395*H395,2)</f>
        <v>0</v>
      </c>
      <c r="K395" s="203" t="s">
        <v>563</v>
      </c>
      <c r="L395" s="137"/>
      <c r="M395" s="208" t="s">
        <v>180</v>
      </c>
      <c r="N395" s="209" t="s">
        <v>513</v>
      </c>
      <c r="P395" s="210">
        <f>O395*H395</f>
        <v>0</v>
      </c>
      <c r="Q395" s="210">
        <v>0</v>
      </c>
      <c r="R395" s="210">
        <f>Q395*H395</f>
        <v>0</v>
      </c>
      <c r="S395" s="210">
        <v>0</v>
      </c>
      <c r="T395" s="211">
        <f>S395*H395</f>
        <v>0</v>
      </c>
      <c r="AR395" s="212" t="s">
        <v>263</v>
      </c>
      <c r="AT395" s="212" t="s">
        <v>560</v>
      </c>
      <c r="AU395" s="212" t="s">
        <v>260</v>
      </c>
      <c r="AY395" s="127" t="s">
        <v>558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27" t="s">
        <v>254</v>
      </c>
      <c r="BK395" s="213">
        <f>ROUND(I395*H395,2)</f>
        <v>0</v>
      </c>
      <c r="BL395" s="127" t="s">
        <v>263</v>
      </c>
      <c r="BM395" s="212" t="s">
        <v>922</v>
      </c>
    </row>
    <row r="396" spans="2:65" s="136" customFormat="1" ht="19.5" x14ac:dyDescent="0.25">
      <c r="B396" s="137"/>
      <c r="D396" s="219" t="s">
        <v>1196</v>
      </c>
      <c r="F396" s="351" t="s">
        <v>664</v>
      </c>
      <c r="I396" s="215"/>
      <c r="L396" s="137"/>
      <c r="M396" s="216"/>
      <c r="T396" s="146"/>
      <c r="AT396" s="127" t="s">
        <v>1196</v>
      </c>
      <c r="AU396" s="127" t="s">
        <v>260</v>
      </c>
    </row>
    <row r="397" spans="2:65" s="136" customFormat="1" x14ac:dyDescent="0.25">
      <c r="B397" s="137"/>
      <c r="D397" s="214" t="s">
        <v>565</v>
      </c>
      <c r="F397" s="288" t="s">
        <v>923</v>
      </c>
      <c r="I397" s="215"/>
      <c r="L397" s="137"/>
      <c r="M397" s="216"/>
      <c r="T397" s="146"/>
      <c r="AT397" s="127" t="s">
        <v>565</v>
      </c>
      <c r="AU397" s="127" t="s">
        <v>260</v>
      </c>
    </row>
    <row r="398" spans="2:65" s="217" customFormat="1" x14ac:dyDescent="0.25">
      <c r="B398" s="218"/>
      <c r="D398" s="219" t="s">
        <v>567</v>
      </c>
      <c r="E398" s="220" t="s">
        <v>180</v>
      </c>
      <c r="F398" s="221" t="s">
        <v>924</v>
      </c>
      <c r="H398" s="222">
        <v>903.1</v>
      </c>
      <c r="I398" s="223"/>
      <c r="L398" s="218"/>
      <c r="M398" s="224"/>
      <c r="T398" s="225"/>
      <c r="AT398" s="220" t="s">
        <v>567</v>
      </c>
      <c r="AU398" s="220" t="s">
        <v>260</v>
      </c>
      <c r="AV398" s="217" t="s">
        <v>260</v>
      </c>
      <c r="AW398" s="217" t="s">
        <v>506</v>
      </c>
      <c r="AX398" s="217" t="s">
        <v>254</v>
      </c>
      <c r="AY398" s="220" t="s">
        <v>558</v>
      </c>
    </row>
    <row r="399" spans="2:65" s="136" customFormat="1" ht="24.2" customHeight="1" x14ac:dyDescent="0.25">
      <c r="B399" s="137"/>
      <c r="C399" s="201" t="s">
        <v>383</v>
      </c>
      <c r="D399" s="201" t="s">
        <v>560</v>
      </c>
      <c r="E399" s="202" t="s">
        <v>925</v>
      </c>
      <c r="F399" s="203" t="s">
        <v>926</v>
      </c>
      <c r="G399" s="204" t="s">
        <v>43</v>
      </c>
      <c r="H399" s="205">
        <v>175.92</v>
      </c>
      <c r="I399" s="206"/>
      <c r="J399" s="207">
        <f>ROUND(I399*H399,2)</f>
        <v>0</v>
      </c>
      <c r="K399" s="203" t="s">
        <v>563</v>
      </c>
      <c r="L399" s="137"/>
      <c r="M399" s="208" t="s">
        <v>180</v>
      </c>
      <c r="N399" s="209" t="s">
        <v>513</v>
      </c>
      <c r="P399" s="210">
        <f>O399*H399</f>
        <v>0</v>
      </c>
      <c r="Q399" s="210">
        <v>0</v>
      </c>
      <c r="R399" s="210">
        <f>Q399*H399</f>
        <v>0</v>
      </c>
      <c r="S399" s="210">
        <v>0</v>
      </c>
      <c r="T399" s="211">
        <f>S399*H399</f>
        <v>0</v>
      </c>
      <c r="AR399" s="212" t="s">
        <v>263</v>
      </c>
      <c r="AT399" s="212" t="s">
        <v>560</v>
      </c>
      <c r="AU399" s="212" t="s">
        <v>260</v>
      </c>
      <c r="AY399" s="127" t="s">
        <v>558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127" t="s">
        <v>254</v>
      </c>
      <c r="BK399" s="213">
        <f>ROUND(I399*H399,2)</f>
        <v>0</v>
      </c>
      <c r="BL399" s="127" t="s">
        <v>263</v>
      </c>
      <c r="BM399" s="212" t="s">
        <v>927</v>
      </c>
    </row>
    <row r="400" spans="2:65" s="136" customFormat="1" ht="19.5" x14ac:dyDescent="0.25">
      <c r="B400" s="137"/>
      <c r="D400" s="219" t="s">
        <v>1196</v>
      </c>
      <c r="F400" s="351" t="s">
        <v>926</v>
      </c>
      <c r="I400" s="215"/>
      <c r="L400" s="137"/>
      <c r="M400" s="216"/>
      <c r="T400" s="146"/>
      <c r="AT400" s="127" t="s">
        <v>1196</v>
      </c>
      <c r="AU400" s="127" t="s">
        <v>260</v>
      </c>
    </row>
    <row r="401" spans="2:65" s="136" customFormat="1" x14ac:dyDescent="0.25">
      <c r="B401" s="137"/>
      <c r="D401" s="214" t="s">
        <v>565</v>
      </c>
      <c r="F401" s="288" t="s">
        <v>928</v>
      </c>
      <c r="I401" s="215"/>
      <c r="L401" s="137"/>
      <c r="M401" s="216"/>
      <c r="T401" s="146"/>
      <c r="AT401" s="127" t="s">
        <v>565</v>
      </c>
      <c r="AU401" s="127" t="s">
        <v>260</v>
      </c>
    </row>
    <row r="402" spans="2:65" s="217" customFormat="1" x14ac:dyDescent="0.25">
      <c r="B402" s="218"/>
      <c r="D402" s="219" t="s">
        <v>567</v>
      </c>
      <c r="E402" s="220" t="s">
        <v>180</v>
      </c>
      <c r="F402" s="221" t="s">
        <v>929</v>
      </c>
      <c r="H402" s="222">
        <v>175.92</v>
      </c>
      <c r="I402" s="223"/>
      <c r="L402" s="218"/>
      <c r="M402" s="224"/>
      <c r="T402" s="225"/>
      <c r="AT402" s="220" t="s">
        <v>567</v>
      </c>
      <c r="AU402" s="220" t="s">
        <v>260</v>
      </c>
      <c r="AV402" s="217" t="s">
        <v>260</v>
      </c>
      <c r="AW402" s="217" t="s">
        <v>506</v>
      </c>
      <c r="AX402" s="217" t="s">
        <v>254</v>
      </c>
      <c r="AY402" s="220" t="s">
        <v>558</v>
      </c>
    </row>
    <row r="403" spans="2:65" s="136" customFormat="1" ht="16.5" customHeight="1" x14ac:dyDescent="0.25">
      <c r="B403" s="137"/>
      <c r="C403" s="201" t="s">
        <v>384</v>
      </c>
      <c r="D403" s="201" t="s">
        <v>560</v>
      </c>
      <c r="E403" s="202" t="s">
        <v>930</v>
      </c>
      <c r="F403" s="203" t="s">
        <v>1247</v>
      </c>
      <c r="G403" s="204" t="s">
        <v>43</v>
      </c>
      <c r="H403" s="205">
        <v>1206.0550000000001</v>
      </c>
      <c r="I403" s="206"/>
      <c r="J403" s="207">
        <f>ROUND(I403*H403,2)</f>
        <v>0</v>
      </c>
      <c r="K403" s="203" t="s">
        <v>563</v>
      </c>
      <c r="L403" s="137"/>
      <c r="M403" s="208" t="s">
        <v>180</v>
      </c>
      <c r="N403" s="209" t="s">
        <v>513</v>
      </c>
      <c r="P403" s="210">
        <f>O403*H403</f>
        <v>0</v>
      </c>
      <c r="Q403" s="210">
        <v>0</v>
      </c>
      <c r="R403" s="210">
        <f>Q403*H403</f>
        <v>0</v>
      </c>
      <c r="S403" s="210">
        <v>0</v>
      </c>
      <c r="T403" s="211">
        <f>S403*H403</f>
        <v>0</v>
      </c>
      <c r="AR403" s="212" t="s">
        <v>263</v>
      </c>
      <c r="AT403" s="212" t="s">
        <v>560</v>
      </c>
      <c r="AU403" s="212" t="s">
        <v>260</v>
      </c>
      <c r="AY403" s="127" t="s">
        <v>558</v>
      </c>
      <c r="BE403" s="213">
        <f>IF(N403="základní",J403,0)</f>
        <v>0</v>
      </c>
      <c r="BF403" s="213">
        <f>IF(N403="snížená",J403,0)</f>
        <v>0</v>
      </c>
      <c r="BG403" s="213">
        <f>IF(N403="zákl. přenesená",J403,0)</f>
        <v>0</v>
      </c>
      <c r="BH403" s="213">
        <f>IF(N403="sníž. přenesená",J403,0)</f>
        <v>0</v>
      </c>
      <c r="BI403" s="213">
        <f>IF(N403="nulová",J403,0)</f>
        <v>0</v>
      </c>
      <c r="BJ403" s="127" t="s">
        <v>254</v>
      </c>
      <c r="BK403" s="213">
        <f>ROUND(I403*H403,2)</f>
        <v>0</v>
      </c>
      <c r="BL403" s="127" t="s">
        <v>263</v>
      </c>
      <c r="BM403" s="212" t="s">
        <v>932</v>
      </c>
    </row>
    <row r="404" spans="2:65" s="136" customFormat="1" x14ac:dyDescent="0.25">
      <c r="B404" s="137"/>
      <c r="D404" s="219" t="s">
        <v>1196</v>
      </c>
      <c r="F404" s="351" t="s">
        <v>931</v>
      </c>
      <c r="I404" s="215"/>
      <c r="L404" s="137"/>
      <c r="M404" s="216"/>
      <c r="T404" s="146"/>
      <c r="AT404" s="127" t="s">
        <v>1196</v>
      </c>
      <c r="AU404" s="127" t="s">
        <v>260</v>
      </c>
    </row>
    <row r="405" spans="2:65" s="136" customFormat="1" x14ac:dyDescent="0.25">
      <c r="B405" s="137"/>
      <c r="D405" s="214" t="s">
        <v>565</v>
      </c>
      <c r="F405" s="288" t="s">
        <v>933</v>
      </c>
      <c r="I405" s="215"/>
      <c r="L405" s="137"/>
      <c r="M405" s="216"/>
      <c r="T405" s="146"/>
      <c r="AT405" s="127" t="s">
        <v>565</v>
      </c>
      <c r="AU405" s="127" t="s">
        <v>260</v>
      </c>
    </row>
    <row r="406" spans="2:65" s="234" customFormat="1" x14ac:dyDescent="0.25">
      <c r="B406" s="235"/>
      <c r="D406" s="219" t="s">
        <v>567</v>
      </c>
      <c r="E406" s="236" t="s">
        <v>180</v>
      </c>
      <c r="F406" s="237" t="s">
        <v>656</v>
      </c>
      <c r="H406" s="236" t="s">
        <v>180</v>
      </c>
      <c r="I406" s="238"/>
      <c r="L406" s="235"/>
      <c r="M406" s="239"/>
      <c r="T406" s="240"/>
      <c r="AT406" s="236" t="s">
        <v>567</v>
      </c>
      <c r="AU406" s="236" t="s">
        <v>260</v>
      </c>
      <c r="AV406" s="234" t="s">
        <v>254</v>
      </c>
      <c r="AW406" s="234" t="s">
        <v>506</v>
      </c>
      <c r="AX406" s="234" t="s">
        <v>295</v>
      </c>
      <c r="AY406" s="236" t="s">
        <v>558</v>
      </c>
    </row>
    <row r="407" spans="2:65" s="234" customFormat="1" x14ac:dyDescent="0.25">
      <c r="B407" s="235"/>
      <c r="D407" s="219" t="s">
        <v>567</v>
      </c>
      <c r="E407" s="236" t="s">
        <v>180</v>
      </c>
      <c r="F407" s="237" t="s">
        <v>934</v>
      </c>
      <c r="H407" s="236" t="s">
        <v>180</v>
      </c>
      <c r="I407" s="238"/>
      <c r="L407" s="235"/>
      <c r="M407" s="239"/>
      <c r="T407" s="240"/>
      <c r="AT407" s="236" t="s">
        <v>567</v>
      </c>
      <c r="AU407" s="236" t="s">
        <v>260</v>
      </c>
      <c r="AV407" s="234" t="s">
        <v>254</v>
      </c>
      <c r="AW407" s="234" t="s">
        <v>506</v>
      </c>
      <c r="AX407" s="234" t="s">
        <v>295</v>
      </c>
      <c r="AY407" s="236" t="s">
        <v>558</v>
      </c>
    </row>
    <row r="408" spans="2:65" s="217" customFormat="1" x14ac:dyDescent="0.25">
      <c r="B408" s="218"/>
      <c r="D408" s="219" t="s">
        <v>567</v>
      </c>
      <c r="E408" s="220" t="s">
        <v>180</v>
      </c>
      <c r="F408" s="221" t="s">
        <v>935</v>
      </c>
      <c r="H408" s="222">
        <v>6</v>
      </c>
      <c r="I408" s="223"/>
      <c r="L408" s="218"/>
      <c r="M408" s="224"/>
      <c r="T408" s="225"/>
      <c r="AT408" s="220" t="s">
        <v>567</v>
      </c>
      <c r="AU408" s="220" t="s">
        <v>260</v>
      </c>
      <c r="AV408" s="217" t="s">
        <v>260</v>
      </c>
      <c r="AW408" s="217" t="s">
        <v>506</v>
      </c>
      <c r="AX408" s="217" t="s">
        <v>295</v>
      </c>
      <c r="AY408" s="220" t="s">
        <v>558</v>
      </c>
    </row>
    <row r="409" spans="2:65" s="217" customFormat="1" x14ac:dyDescent="0.25">
      <c r="B409" s="218"/>
      <c r="D409" s="219" t="s">
        <v>567</v>
      </c>
      <c r="E409" s="220" t="s">
        <v>180</v>
      </c>
      <c r="F409" s="221" t="s">
        <v>936</v>
      </c>
      <c r="H409" s="222">
        <v>1.32</v>
      </c>
      <c r="I409" s="223"/>
      <c r="L409" s="218"/>
      <c r="M409" s="224"/>
      <c r="T409" s="225"/>
      <c r="AT409" s="220" t="s">
        <v>567</v>
      </c>
      <c r="AU409" s="220" t="s">
        <v>260</v>
      </c>
      <c r="AV409" s="217" t="s">
        <v>260</v>
      </c>
      <c r="AW409" s="217" t="s">
        <v>506</v>
      </c>
      <c r="AX409" s="217" t="s">
        <v>295</v>
      </c>
      <c r="AY409" s="220" t="s">
        <v>558</v>
      </c>
    </row>
    <row r="410" spans="2:65" s="217" customFormat="1" x14ac:dyDescent="0.25">
      <c r="B410" s="218"/>
      <c r="D410" s="219" t="s">
        <v>567</v>
      </c>
      <c r="E410" s="220" t="s">
        <v>180</v>
      </c>
      <c r="F410" s="221" t="s">
        <v>937</v>
      </c>
      <c r="H410" s="222">
        <v>61.6</v>
      </c>
      <c r="I410" s="223"/>
      <c r="L410" s="218"/>
      <c r="M410" s="224"/>
      <c r="T410" s="225"/>
      <c r="AT410" s="220" t="s">
        <v>567</v>
      </c>
      <c r="AU410" s="220" t="s">
        <v>260</v>
      </c>
      <c r="AV410" s="217" t="s">
        <v>260</v>
      </c>
      <c r="AW410" s="217" t="s">
        <v>506</v>
      </c>
      <c r="AX410" s="217" t="s">
        <v>295</v>
      </c>
      <c r="AY410" s="220" t="s">
        <v>558</v>
      </c>
    </row>
    <row r="411" spans="2:65" s="217" customFormat="1" x14ac:dyDescent="0.25">
      <c r="B411" s="218"/>
      <c r="D411" s="219" t="s">
        <v>567</v>
      </c>
      <c r="E411" s="220" t="s">
        <v>180</v>
      </c>
      <c r="F411" s="221" t="s">
        <v>938</v>
      </c>
      <c r="H411" s="222">
        <v>47.15</v>
      </c>
      <c r="I411" s="223"/>
      <c r="L411" s="218"/>
      <c r="M411" s="224"/>
      <c r="T411" s="225"/>
      <c r="AT411" s="220" t="s">
        <v>567</v>
      </c>
      <c r="AU411" s="220" t="s">
        <v>260</v>
      </c>
      <c r="AV411" s="217" t="s">
        <v>260</v>
      </c>
      <c r="AW411" s="217" t="s">
        <v>506</v>
      </c>
      <c r="AX411" s="217" t="s">
        <v>295</v>
      </c>
      <c r="AY411" s="220" t="s">
        <v>558</v>
      </c>
    </row>
    <row r="412" spans="2:65" s="217" customFormat="1" x14ac:dyDescent="0.25">
      <c r="B412" s="218"/>
      <c r="D412" s="219" t="s">
        <v>567</v>
      </c>
      <c r="E412" s="220" t="s">
        <v>180</v>
      </c>
      <c r="F412" s="221" t="s">
        <v>939</v>
      </c>
      <c r="H412" s="222">
        <v>10.695</v>
      </c>
      <c r="I412" s="223"/>
      <c r="L412" s="218"/>
      <c r="M412" s="224"/>
      <c r="T412" s="225"/>
      <c r="AT412" s="220" t="s">
        <v>567</v>
      </c>
      <c r="AU412" s="220" t="s">
        <v>260</v>
      </c>
      <c r="AV412" s="217" t="s">
        <v>260</v>
      </c>
      <c r="AW412" s="217" t="s">
        <v>506</v>
      </c>
      <c r="AX412" s="217" t="s">
        <v>295</v>
      </c>
      <c r="AY412" s="220" t="s">
        <v>558</v>
      </c>
    </row>
    <row r="413" spans="2:65" s="217" customFormat="1" x14ac:dyDescent="0.25">
      <c r="B413" s="218"/>
      <c r="D413" s="219" t="s">
        <v>567</v>
      </c>
      <c r="E413" s="220" t="s">
        <v>180</v>
      </c>
      <c r="F413" s="221" t="s">
        <v>940</v>
      </c>
      <c r="H413" s="222">
        <v>0.27</v>
      </c>
      <c r="I413" s="223"/>
      <c r="L413" s="218"/>
      <c r="M413" s="224"/>
      <c r="T413" s="225"/>
      <c r="AT413" s="220" t="s">
        <v>567</v>
      </c>
      <c r="AU413" s="220" t="s">
        <v>260</v>
      </c>
      <c r="AV413" s="217" t="s">
        <v>260</v>
      </c>
      <c r="AW413" s="217" t="s">
        <v>506</v>
      </c>
      <c r="AX413" s="217" t="s">
        <v>295</v>
      </c>
      <c r="AY413" s="220" t="s">
        <v>558</v>
      </c>
    </row>
    <row r="414" spans="2:65" s="251" customFormat="1" x14ac:dyDescent="0.25">
      <c r="B414" s="252"/>
      <c r="D414" s="219" t="s">
        <v>567</v>
      </c>
      <c r="E414" s="253" t="s">
        <v>180</v>
      </c>
      <c r="F414" s="254" t="s">
        <v>941</v>
      </c>
      <c r="H414" s="255">
        <v>127.035</v>
      </c>
      <c r="I414" s="256"/>
      <c r="L414" s="252"/>
      <c r="M414" s="257"/>
      <c r="T414" s="258"/>
      <c r="AT414" s="253" t="s">
        <v>567</v>
      </c>
      <c r="AU414" s="253" t="s">
        <v>260</v>
      </c>
      <c r="AV414" s="251" t="s">
        <v>262</v>
      </c>
      <c r="AW414" s="251" t="s">
        <v>506</v>
      </c>
      <c r="AX414" s="251" t="s">
        <v>295</v>
      </c>
      <c r="AY414" s="253" t="s">
        <v>558</v>
      </c>
    </row>
    <row r="415" spans="2:65" s="234" customFormat="1" x14ac:dyDescent="0.25">
      <c r="B415" s="235"/>
      <c r="D415" s="219" t="s">
        <v>567</v>
      </c>
      <c r="E415" s="236" t="s">
        <v>180</v>
      </c>
      <c r="F415" s="237" t="s">
        <v>942</v>
      </c>
      <c r="H415" s="236" t="s">
        <v>180</v>
      </c>
      <c r="I415" s="238"/>
      <c r="L415" s="235"/>
      <c r="M415" s="239"/>
      <c r="T415" s="240"/>
      <c r="AT415" s="236" t="s">
        <v>567</v>
      </c>
      <c r="AU415" s="236" t="s">
        <v>260</v>
      </c>
      <c r="AV415" s="234" t="s">
        <v>254</v>
      </c>
      <c r="AW415" s="234" t="s">
        <v>506</v>
      </c>
      <c r="AX415" s="234" t="s">
        <v>295</v>
      </c>
      <c r="AY415" s="236" t="s">
        <v>558</v>
      </c>
    </row>
    <row r="416" spans="2:65" s="217" customFormat="1" x14ac:dyDescent="0.25">
      <c r="B416" s="218"/>
      <c r="D416" s="219" t="s">
        <v>567</v>
      </c>
      <c r="E416" s="220" t="s">
        <v>180</v>
      </c>
      <c r="F416" s="221" t="s">
        <v>943</v>
      </c>
      <c r="H416" s="222">
        <v>30</v>
      </c>
      <c r="I416" s="223"/>
      <c r="L416" s="218"/>
      <c r="M416" s="224"/>
      <c r="T416" s="225"/>
      <c r="AT416" s="220" t="s">
        <v>567</v>
      </c>
      <c r="AU416" s="220" t="s">
        <v>260</v>
      </c>
      <c r="AV416" s="217" t="s">
        <v>260</v>
      </c>
      <c r="AW416" s="217" t="s">
        <v>506</v>
      </c>
      <c r="AX416" s="217" t="s">
        <v>295</v>
      </c>
      <c r="AY416" s="220" t="s">
        <v>558</v>
      </c>
    </row>
    <row r="417" spans="2:65" s="217" customFormat="1" x14ac:dyDescent="0.25">
      <c r="B417" s="218"/>
      <c r="D417" s="219" t="s">
        <v>567</v>
      </c>
      <c r="E417" s="220" t="s">
        <v>180</v>
      </c>
      <c r="F417" s="221" t="s">
        <v>944</v>
      </c>
      <c r="H417" s="222">
        <v>7.2</v>
      </c>
      <c r="I417" s="223"/>
      <c r="L417" s="218"/>
      <c r="M417" s="224"/>
      <c r="T417" s="225"/>
      <c r="AT417" s="220" t="s">
        <v>567</v>
      </c>
      <c r="AU417" s="220" t="s">
        <v>260</v>
      </c>
      <c r="AV417" s="217" t="s">
        <v>260</v>
      </c>
      <c r="AW417" s="217" t="s">
        <v>506</v>
      </c>
      <c r="AX417" s="217" t="s">
        <v>295</v>
      </c>
      <c r="AY417" s="220" t="s">
        <v>558</v>
      </c>
    </row>
    <row r="418" spans="2:65" s="217" customFormat="1" x14ac:dyDescent="0.25">
      <c r="B418" s="218"/>
      <c r="D418" s="219" t="s">
        <v>567</v>
      </c>
      <c r="E418" s="220" t="s">
        <v>180</v>
      </c>
      <c r="F418" s="221" t="s">
        <v>945</v>
      </c>
      <c r="H418" s="222">
        <v>30</v>
      </c>
      <c r="I418" s="223"/>
      <c r="L418" s="218"/>
      <c r="M418" s="224"/>
      <c r="T418" s="225"/>
      <c r="AT418" s="220" t="s">
        <v>567</v>
      </c>
      <c r="AU418" s="220" t="s">
        <v>260</v>
      </c>
      <c r="AV418" s="217" t="s">
        <v>260</v>
      </c>
      <c r="AW418" s="217" t="s">
        <v>506</v>
      </c>
      <c r="AX418" s="217" t="s">
        <v>295</v>
      </c>
      <c r="AY418" s="220" t="s">
        <v>558</v>
      </c>
    </row>
    <row r="419" spans="2:65" s="217" customFormat="1" x14ac:dyDescent="0.25">
      <c r="B419" s="218"/>
      <c r="D419" s="219" t="s">
        <v>567</v>
      </c>
      <c r="E419" s="220" t="s">
        <v>180</v>
      </c>
      <c r="F419" s="221" t="s">
        <v>946</v>
      </c>
      <c r="H419" s="222">
        <v>90</v>
      </c>
      <c r="I419" s="223"/>
      <c r="L419" s="218"/>
      <c r="M419" s="224"/>
      <c r="T419" s="225"/>
      <c r="AT419" s="220" t="s">
        <v>567</v>
      </c>
      <c r="AU419" s="220" t="s">
        <v>260</v>
      </c>
      <c r="AV419" s="217" t="s">
        <v>260</v>
      </c>
      <c r="AW419" s="217" t="s">
        <v>506</v>
      </c>
      <c r="AX419" s="217" t="s">
        <v>295</v>
      </c>
      <c r="AY419" s="220" t="s">
        <v>558</v>
      </c>
    </row>
    <row r="420" spans="2:65" s="217" customFormat="1" x14ac:dyDescent="0.25">
      <c r="B420" s="218"/>
      <c r="D420" s="219" t="s">
        <v>567</v>
      </c>
      <c r="E420" s="220" t="s">
        <v>180</v>
      </c>
      <c r="F420" s="221" t="s">
        <v>947</v>
      </c>
      <c r="H420" s="222">
        <v>156.80000000000001</v>
      </c>
      <c r="I420" s="223"/>
      <c r="L420" s="218"/>
      <c r="M420" s="224"/>
      <c r="T420" s="225"/>
      <c r="AT420" s="220" t="s">
        <v>567</v>
      </c>
      <c r="AU420" s="220" t="s">
        <v>260</v>
      </c>
      <c r="AV420" s="217" t="s">
        <v>260</v>
      </c>
      <c r="AW420" s="217" t="s">
        <v>506</v>
      </c>
      <c r="AX420" s="217" t="s">
        <v>295</v>
      </c>
      <c r="AY420" s="220" t="s">
        <v>558</v>
      </c>
    </row>
    <row r="421" spans="2:65" s="217" customFormat="1" x14ac:dyDescent="0.25">
      <c r="B421" s="218"/>
      <c r="D421" s="219" t="s">
        <v>567</v>
      </c>
      <c r="E421" s="220" t="s">
        <v>180</v>
      </c>
      <c r="F421" s="221" t="s">
        <v>948</v>
      </c>
      <c r="H421" s="222">
        <v>582.29999999999995</v>
      </c>
      <c r="I421" s="223"/>
      <c r="L421" s="218"/>
      <c r="M421" s="224"/>
      <c r="T421" s="225"/>
      <c r="AT421" s="220" t="s">
        <v>567</v>
      </c>
      <c r="AU421" s="220" t="s">
        <v>260</v>
      </c>
      <c r="AV421" s="217" t="s">
        <v>260</v>
      </c>
      <c r="AW421" s="217" t="s">
        <v>506</v>
      </c>
      <c r="AX421" s="217" t="s">
        <v>295</v>
      </c>
      <c r="AY421" s="220" t="s">
        <v>558</v>
      </c>
    </row>
    <row r="422" spans="2:65" s="217" customFormat="1" x14ac:dyDescent="0.25">
      <c r="B422" s="218"/>
      <c r="D422" s="219" t="s">
        <v>567</v>
      </c>
      <c r="E422" s="220" t="s">
        <v>180</v>
      </c>
      <c r="F422" s="221" t="s">
        <v>949</v>
      </c>
      <c r="H422" s="222">
        <v>6.8</v>
      </c>
      <c r="I422" s="223"/>
      <c r="L422" s="218"/>
      <c r="M422" s="224"/>
      <c r="T422" s="225"/>
      <c r="AT422" s="220" t="s">
        <v>567</v>
      </c>
      <c r="AU422" s="220" t="s">
        <v>260</v>
      </c>
      <c r="AV422" s="217" t="s">
        <v>260</v>
      </c>
      <c r="AW422" s="217" t="s">
        <v>506</v>
      </c>
      <c r="AX422" s="217" t="s">
        <v>295</v>
      </c>
      <c r="AY422" s="220" t="s">
        <v>558</v>
      </c>
    </row>
    <row r="423" spans="2:65" s="251" customFormat="1" x14ac:dyDescent="0.25">
      <c r="B423" s="252"/>
      <c r="D423" s="219" t="s">
        <v>567</v>
      </c>
      <c r="E423" s="253" t="s">
        <v>180</v>
      </c>
      <c r="F423" s="254" t="s">
        <v>941</v>
      </c>
      <c r="H423" s="255">
        <v>903.1</v>
      </c>
      <c r="I423" s="256"/>
      <c r="L423" s="252"/>
      <c r="M423" s="257"/>
      <c r="T423" s="258"/>
      <c r="AT423" s="253" t="s">
        <v>567</v>
      </c>
      <c r="AU423" s="253" t="s">
        <v>260</v>
      </c>
      <c r="AV423" s="251" t="s">
        <v>262</v>
      </c>
      <c r="AW423" s="251" t="s">
        <v>506</v>
      </c>
      <c r="AX423" s="251" t="s">
        <v>295</v>
      </c>
      <c r="AY423" s="253" t="s">
        <v>558</v>
      </c>
    </row>
    <row r="424" spans="2:65" s="234" customFormat="1" x14ac:dyDescent="0.25">
      <c r="B424" s="235"/>
      <c r="D424" s="219" t="s">
        <v>567</v>
      </c>
      <c r="E424" s="236" t="s">
        <v>180</v>
      </c>
      <c r="F424" s="237" t="s">
        <v>950</v>
      </c>
      <c r="H424" s="236" t="s">
        <v>180</v>
      </c>
      <c r="I424" s="238"/>
      <c r="L424" s="235"/>
      <c r="M424" s="239"/>
      <c r="T424" s="240"/>
      <c r="AT424" s="236" t="s">
        <v>567</v>
      </c>
      <c r="AU424" s="236" t="s">
        <v>260</v>
      </c>
      <c r="AV424" s="234" t="s">
        <v>254</v>
      </c>
      <c r="AW424" s="234" t="s">
        <v>506</v>
      </c>
      <c r="AX424" s="234" t="s">
        <v>295</v>
      </c>
      <c r="AY424" s="236" t="s">
        <v>558</v>
      </c>
    </row>
    <row r="425" spans="2:65" s="217" customFormat="1" x14ac:dyDescent="0.25">
      <c r="B425" s="218"/>
      <c r="D425" s="219" t="s">
        <v>567</v>
      </c>
      <c r="E425" s="220" t="s">
        <v>180</v>
      </c>
      <c r="F425" s="221" t="s">
        <v>951</v>
      </c>
      <c r="H425" s="222">
        <v>2.88</v>
      </c>
      <c r="I425" s="223"/>
      <c r="L425" s="218"/>
      <c r="M425" s="224"/>
      <c r="T425" s="225"/>
      <c r="AT425" s="220" t="s">
        <v>567</v>
      </c>
      <c r="AU425" s="220" t="s">
        <v>260</v>
      </c>
      <c r="AV425" s="217" t="s">
        <v>260</v>
      </c>
      <c r="AW425" s="217" t="s">
        <v>506</v>
      </c>
      <c r="AX425" s="217" t="s">
        <v>295</v>
      </c>
      <c r="AY425" s="220" t="s">
        <v>558</v>
      </c>
    </row>
    <row r="426" spans="2:65" s="217" customFormat="1" x14ac:dyDescent="0.25">
      <c r="B426" s="218"/>
      <c r="D426" s="219" t="s">
        <v>567</v>
      </c>
      <c r="E426" s="220" t="s">
        <v>180</v>
      </c>
      <c r="F426" s="221" t="s">
        <v>952</v>
      </c>
      <c r="H426" s="222">
        <v>13.44</v>
      </c>
      <c r="I426" s="223"/>
      <c r="L426" s="218"/>
      <c r="M426" s="224"/>
      <c r="T426" s="225"/>
      <c r="AT426" s="220" t="s">
        <v>567</v>
      </c>
      <c r="AU426" s="220" t="s">
        <v>260</v>
      </c>
      <c r="AV426" s="217" t="s">
        <v>260</v>
      </c>
      <c r="AW426" s="217" t="s">
        <v>506</v>
      </c>
      <c r="AX426" s="217" t="s">
        <v>295</v>
      </c>
      <c r="AY426" s="220" t="s">
        <v>558</v>
      </c>
    </row>
    <row r="427" spans="2:65" s="217" customFormat="1" x14ac:dyDescent="0.25">
      <c r="B427" s="218"/>
      <c r="D427" s="219" t="s">
        <v>567</v>
      </c>
      <c r="E427" s="220" t="s">
        <v>180</v>
      </c>
      <c r="F427" s="221" t="s">
        <v>953</v>
      </c>
      <c r="H427" s="222">
        <v>159.6</v>
      </c>
      <c r="I427" s="223"/>
      <c r="L427" s="218"/>
      <c r="M427" s="224"/>
      <c r="T427" s="225"/>
      <c r="AT427" s="220" t="s">
        <v>567</v>
      </c>
      <c r="AU427" s="220" t="s">
        <v>260</v>
      </c>
      <c r="AV427" s="217" t="s">
        <v>260</v>
      </c>
      <c r="AW427" s="217" t="s">
        <v>506</v>
      </c>
      <c r="AX427" s="217" t="s">
        <v>295</v>
      </c>
      <c r="AY427" s="220" t="s">
        <v>558</v>
      </c>
    </row>
    <row r="428" spans="2:65" s="251" customFormat="1" x14ac:dyDescent="0.25">
      <c r="B428" s="252"/>
      <c r="D428" s="219" t="s">
        <v>567</v>
      </c>
      <c r="E428" s="253" t="s">
        <v>180</v>
      </c>
      <c r="F428" s="254" t="s">
        <v>941</v>
      </c>
      <c r="H428" s="255">
        <v>175.92</v>
      </c>
      <c r="I428" s="256"/>
      <c r="L428" s="252"/>
      <c r="M428" s="257"/>
      <c r="T428" s="258"/>
      <c r="AT428" s="253" t="s">
        <v>567</v>
      </c>
      <c r="AU428" s="253" t="s">
        <v>260</v>
      </c>
      <c r="AV428" s="251" t="s">
        <v>262</v>
      </c>
      <c r="AW428" s="251" t="s">
        <v>506</v>
      </c>
      <c r="AX428" s="251" t="s">
        <v>295</v>
      </c>
      <c r="AY428" s="253" t="s">
        <v>558</v>
      </c>
    </row>
    <row r="429" spans="2:65" s="226" customFormat="1" x14ac:dyDescent="0.25">
      <c r="B429" s="227"/>
      <c r="D429" s="219" t="s">
        <v>567</v>
      </c>
      <c r="E429" s="228" t="s">
        <v>180</v>
      </c>
      <c r="F429" s="229" t="s">
        <v>595</v>
      </c>
      <c r="H429" s="230">
        <v>1206.0550000000001</v>
      </c>
      <c r="I429" s="231"/>
      <c r="L429" s="227"/>
      <c r="M429" s="232"/>
      <c r="T429" s="233"/>
      <c r="AT429" s="228" t="s">
        <v>567</v>
      </c>
      <c r="AU429" s="228" t="s">
        <v>260</v>
      </c>
      <c r="AV429" s="226" t="s">
        <v>263</v>
      </c>
      <c r="AW429" s="226" t="s">
        <v>506</v>
      </c>
      <c r="AX429" s="226" t="s">
        <v>254</v>
      </c>
      <c r="AY429" s="228" t="s">
        <v>558</v>
      </c>
    </row>
    <row r="430" spans="2:65" s="136" customFormat="1" ht="16.5" customHeight="1" x14ac:dyDescent="0.25">
      <c r="B430" s="137"/>
      <c r="C430" s="201" t="s">
        <v>385</v>
      </c>
      <c r="D430" s="201" t="s">
        <v>560</v>
      </c>
      <c r="E430" s="202" t="s">
        <v>954</v>
      </c>
      <c r="F430" s="203" t="s">
        <v>1248</v>
      </c>
      <c r="G430" s="204" t="s">
        <v>43</v>
      </c>
      <c r="H430" s="205">
        <v>28945.32</v>
      </c>
      <c r="I430" s="206"/>
      <c r="J430" s="207">
        <f>ROUND(I430*H430,2)</f>
        <v>0</v>
      </c>
      <c r="K430" s="203" t="s">
        <v>563</v>
      </c>
      <c r="L430" s="137"/>
      <c r="M430" s="208" t="s">
        <v>180</v>
      </c>
      <c r="N430" s="209" t="s">
        <v>513</v>
      </c>
      <c r="P430" s="210">
        <f>O430*H430</f>
        <v>0</v>
      </c>
      <c r="Q430" s="210">
        <v>0</v>
      </c>
      <c r="R430" s="210">
        <f>Q430*H430</f>
        <v>0</v>
      </c>
      <c r="S430" s="210">
        <v>0</v>
      </c>
      <c r="T430" s="211">
        <f>S430*H430</f>
        <v>0</v>
      </c>
      <c r="AR430" s="212" t="s">
        <v>263</v>
      </c>
      <c r="AT430" s="212" t="s">
        <v>560</v>
      </c>
      <c r="AU430" s="212" t="s">
        <v>260</v>
      </c>
      <c r="AY430" s="127" t="s">
        <v>558</v>
      </c>
      <c r="BE430" s="213">
        <f>IF(N430="základní",J430,0)</f>
        <v>0</v>
      </c>
      <c r="BF430" s="213">
        <f>IF(N430="snížená",J430,0)</f>
        <v>0</v>
      </c>
      <c r="BG430" s="213">
        <f>IF(N430="zákl. přenesená",J430,0)</f>
        <v>0</v>
      </c>
      <c r="BH430" s="213">
        <f>IF(N430="sníž. přenesená",J430,0)</f>
        <v>0</v>
      </c>
      <c r="BI430" s="213">
        <f>IF(N430="nulová",J430,0)</f>
        <v>0</v>
      </c>
      <c r="BJ430" s="127" t="s">
        <v>254</v>
      </c>
      <c r="BK430" s="213">
        <f>ROUND(I430*H430,2)</f>
        <v>0</v>
      </c>
      <c r="BL430" s="127" t="s">
        <v>263</v>
      </c>
      <c r="BM430" s="212" t="s">
        <v>956</v>
      </c>
    </row>
    <row r="431" spans="2:65" s="136" customFormat="1" ht="19.5" x14ac:dyDescent="0.25">
      <c r="B431" s="137"/>
      <c r="D431" s="219" t="s">
        <v>1196</v>
      </c>
      <c r="F431" s="351" t="s">
        <v>955</v>
      </c>
      <c r="I431" s="215"/>
      <c r="L431" s="137"/>
      <c r="M431" s="216"/>
      <c r="T431" s="146"/>
      <c r="AT431" s="127" t="s">
        <v>1196</v>
      </c>
      <c r="AU431" s="127" t="s">
        <v>260</v>
      </c>
    </row>
    <row r="432" spans="2:65" s="136" customFormat="1" x14ac:dyDescent="0.25">
      <c r="B432" s="137"/>
      <c r="D432" s="214" t="s">
        <v>565</v>
      </c>
      <c r="F432" s="288" t="s">
        <v>957</v>
      </c>
      <c r="I432" s="215"/>
      <c r="L432" s="137"/>
      <c r="M432" s="216"/>
      <c r="T432" s="146"/>
      <c r="AT432" s="127" t="s">
        <v>565</v>
      </c>
      <c r="AU432" s="127" t="s">
        <v>260</v>
      </c>
    </row>
    <row r="433" spans="2:65" s="234" customFormat="1" x14ac:dyDescent="0.25">
      <c r="B433" s="235"/>
      <c r="D433" s="219" t="s">
        <v>567</v>
      </c>
      <c r="E433" s="236" t="s">
        <v>180</v>
      </c>
      <c r="F433" s="237" t="s">
        <v>656</v>
      </c>
      <c r="H433" s="236" t="s">
        <v>180</v>
      </c>
      <c r="I433" s="238"/>
      <c r="L433" s="235"/>
      <c r="M433" s="239"/>
      <c r="T433" s="240"/>
      <c r="AT433" s="236" t="s">
        <v>567</v>
      </c>
      <c r="AU433" s="236" t="s">
        <v>260</v>
      </c>
      <c r="AV433" s="234" t="s">
        <v>254</v>
      </c>
      <c r="AW433" s="234" t="s">
        <v>506</v>
      </c>
      <c r="AX433" s="234" t="s">
        <v>295</v>
      </c>
      <c r="AY433" s="236" t="s">
        <v>558</v>
      </c>
    </row>
    <row r="434" spans="2:65" s="217" customFormat="1" x14ac:dyDescent="0.25">
      <c r="B434" s="218"/>
      <c r="D434" s="219" t="s">
        <v>567</v>
      </c>
      <c r="E434" s="220" t="s">
        <v>180</v>
      </c>
      <c r="F434" s="221" t="s">
        <v>958</v>
      </c>
      <c r="H434" s="222">
        <v>28945.32</v>
      </c>
      <c r="I434" s="223"/>
      <c r="L434" s="218"/>
      <c r="M434" s="224"/>
      <c r="T434" s="225"/>
      <c r="AT434" s="220" t="s">
        <v>567</v>
      </c>
      <c r="AU434" s="220" t="s">
        <v>260</v>
      </c>
      <c r="AV434" s="217" t="s">
        <v>260</v>
      </c>
      <c r="AW434" s="217" t="s">
        <v>506</v>
      </c>
      <c r="AX434" s="217" t="s">
        <v>254</v>
      </c>
      <c r="AY434" s="220" t="s">
        <v>558</v>
      </c>
    </row>
    <row r="435" spans="2:65" s="188" customFormat="1" ht="22.9" customHeight="1" x14ac:dyDescent="0.2">
      <c r="B435" s="189"/>
      <c r="D435" s="190" t="s">
        <v>523</v>
      </c>
      <c r="E435" s="199" t="s">
        <v>959</v>
      </c>
      <c r="F435" s="199" t="s">
        <v>493</v>
      </c>
      <c r="I435" s="192"/>
      <c r="J435" s="200">
        <f>BK435</f>
        <v>0</v>
      </c>
      <c r="L435" s="189"/>
      <c r="M435" s="194"/>
      <c r="P435" s="195">
        <f>SUM(P436:P438)</f>
        <v>0</v>
      </c>
      <c r="R435" s="195">
        <f>SUM(R436:R438)</f>
        <v>0</v>
      </c>
      <c r="T435" s="196">
        <f>SUM(T436:T438)</f>
        <v>0</v>
      </c>
      <c r="AR435" s="190" t="s">
        <v>254</v>
      </c>
      <c r="AT435" s="197" t="s">
        <v>523</v>
      </c>
      <c r="AU435" s="197" t="s">
        <v>254</v>
      </c>
      <c r="AY435" s="190" t="s">
        <v>558</v>
      </c>
      <c r="BK435" s="198">
        <f>SUM(BK436:BK438)</f>
        <v>0</v>
      </c>
    </row>
    <row r="436" spans="2:65" s="136" customFormat="1" ht="16.5" customHeight="1" x14ac:dyDescent="0.25">
      <c r="B436" s="137"/>
      <c r="C436" s="201" t="s">
        <v>386</v>
      </c>
      <c r="D436" s="201" t="s">
        <v>560</v>
      </c>
      <c r="E436" s="202" t="s">
        <v>960</v>
      </c>
      <c r="F436" s="203" t="s">
        <v>1249</v>
      </c>
      <c r="G436" s="204" t="s">
        <v>43</v>
      </c>
      <c r="H436" s="205">
        <v>513.91800000000001</v>
      </c>
      <c r="I436" s="206"/>
      <c r="J436" s="207">
        <f>ROUND(I436*H436,2)</f>
        <v>0</v>
      </c>
      <c r="K436" s="203" t="s">
        <v>563</v>
      </c>
      <c r="L436" s="137"/>
      <c r="M436" s="208" t="s">
        <v>180</v>
      </c>
      <c r="N436" s="209" t="s">
        <v>513</v>
      </c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AR436" s="212" t="s">
        <v>263</v>
      </c>
      <c r="AT436" s="212" t="s">
        <v>560</v>
      </c>
      <c r="AU436" s="212" t="s">
        <v>260</v>
      </c>
      <c r="AY436" s="127" t="s">
        <v>558</v>
      </c>
      <c r="BE436" s="213">
        <f>IF(N436="základní",J436,0)</f>
        <v>0</v>
      </c>
      <c r="BF436" s="213">
        <f>IF(N436="snížená",J436,0)</f>
        <v>0</v>
      </c>
      <c r="BG436" s="213">
        <f>IF(N436="zákl. přenesená",J436,0)</f>
        <v>0</v>
      </c>
      <c r="BH436" s="213">
        <f>IF(N436="sníž. přenesená",J436,0)</f>
        <v>0</v>
      </c>
      <c r="BI436" s="213">
        <f>IF(N436="nulová",J436,0)</f>
        <v>0</v>
      </c>
      <c r="BJ436" s="127" t="s">
        <v>254</v>
      </c>
      <c r="BK436" s="213">
        <f>ROUND(I436*H436,2)</f>
        <v>0</v>
      </c>
      <c r="BL436" s="127" t="s">
        <v>263</v>
      </c>
      <c r="BM436" s="212" t="s">
        <v>962</v>
      </c>
    </row>
    <row r="437" spans="2:65" s="136" customFormat="1" x14ac:dyDescent="0.25">
      <c r="B437" s="137"/>
      <c r="D437" s="219" t="s">
        <v>1196</v>
      </c>
      <c r="F437" s="351" t="s">
        <v>961</v>
      </c>
      <c r="I437" s="215"/>
      <c r="L437" s="137"/>
      <c r="M437" s="216"/>
      <c r="T437" s="146"/>
      <c r="AT437" s="127" t="s">
        <v>1196</v>
      </c>
      <c r="AU437" s="127" t="s">
        <v>260</v>
      </c>
    </row>
    <row r="438" spans="2:65" s="136" customFormat="1" x14ac:dyDescent="0.25">
      <c r="B438" s="137"/>
      <c r="D438" s="214" t="s">
        <v>565</v>
      </c>
      <c r="F438" s="288" t="s">
        <v>963</v>
      </c>
      <c r="I438" s="215"/>
      <c r="L438" s="137"/>
      <c r="M438" s="259"/>
      <c r="N438" s="260"/>
      <c r="O438" s="260"/>
      <c r="P438" s="260"/>
      <c r="Q438" s="260"/>
      <c r="R438" s="260"/>
      <c r="S438" s="260"/>
      <c r="T438" s="261"/>
      <c r="AT438" s="127" t="s">
        <v>565</v>
      </c>
      <c r="AU438" s="127" t="s">
        <v>260</v>
      </c>
    </row>
    <row r="439" spans="2:65" s="136" customFormat="1" ht="6.95" customHeight="1" x14ac:dyDescent="0.25">
      <c r="B439" s="139"/>
      <c r="C439" s="140"/>
      <c r="D439" s="140"/>
      <c r="E439" s="140"/>
      <c r="F439" s="140"/>
      <c r="G439" s="140"/>
      <c r="H439" s="140"/>
      <c r="I439" s="140"/>
      <c r="J439" s="140"/>
      <c r="K439" s="140"/>
      <c r="L439" s="137"/>
    </row>
  </sheetData>
  <sheetProtection algorithmName="SHA-512" hashValue="XqaQP2FKjXANAC92MMR5oldPBlp5UAVb2+it0yzP4ut0MVHQ8FTJ/Bhxq5fS4Ont6vIjN/4HvQTCOE5sw3IpXw==" saltValue="kOYvHQefPmgMzmdUiPmczsnY6Z32ktZU+LyJx5GtFRqRed8kLio+fQlIX3sDyns1O4Q5nzJvNRWGZ0g6Wq2ceA==" spinCount="100000" sheet="1" objects="1" scenarios="1" formatColumns="0" formatRows="0" autoFilter="0"/>
  <autoFilter ref="C92:K438" xr:uid="{00000000-0009-0000-0000-000001000000}"/>
  <mergeCells count="12">
    <mergeCell ref="E85:H85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</mergeCells>
  <hyperlinks>
    <hyperlink ref="F98" r:id="rId1" xr:uid="{6C3E8ABB-BB36-4C98-9477-FE317216362D}"/>
    <hyperlink ref="F102" r:id="rId2" xr:uid="{B6897326-63D9-44CC-ACD0-ED48208CEDD8}"/>
    <hyperlink ref="F106" r:id="rId3" xr:uid="{A2C32FE6-92CE-41E3-AD1A-5FCF2AF1FD3E}"/>
    <hyperlink ref="F110" r:id="rId4" xr:uid="{C2945670-FE2B-4611-A7EA-97980090A977}"/>
    <hyperlink ref="F114" r:id="rId5" xr:uid="{580091CD-43B5-4810-8F8B-0BDE1056B4B8}"/>
    <hyperlink ref="F118" r:id="rId6" xr:uid="{2FD0D0A5-4ADC-486B-BF71-BC1EAFCF52E2}"/>
    <hyperlink ref="F124" r:id="rId7" xr:uid="{485AF157-A3BB-4053-9F23-EBEDDEFC9BA4}"/>
    <hyperlink ref="F128" r:id="rId8" xr:uid="{6C416276-BD73-45D1-9C84-6210A7633FCD}"/>
    <hyperlink ref="F132" r:id="rId9" xr:uid="{D365E566-86CA-4593-9F6D-CD6B2B999819}"/>
    <hyperlink ref="F136" r:id="rId10" xr:uid="{D72FF954-E326-4255-BA4C-79002D3D2936}"/>
    <hyperlink ref="F140" r:id="rId11" xr:uid="{24151045-FEBA-45CC-A34F-D1F642D31538}"/>
    <hyperlink ref="F144" r:id="rId12" xr:uid="{C48DBF51-C1C5-47BD-BF06-89E8A2D300DB}"/>
    <hyperlink ref="F148" r:id="rId13" xr:uid="{B8EA3E76-F3E2-42FE-9B8A-B9B4ADC79D63}"/>
    <hyperlink ref="F152" r:id="rId14" xr:uid="{40D15E5F-B21F-4A5E-A388-A6AFE3B1D251}"/>
    <hyperlink ref="F156" r:id="rId15" xr:uid="{F0600598-FBC3-4A00-88D2-1DCFE81BC4B5}"/>
    <hyperlink ref="F162" r:id="rId16" xr:uid="{D7FFC835-6518-4785-8CF8-05175C41D095}"/>
    <hyperlink ref="F166" r:id="rId17" xr:uid="{7A13AB9A-E47B-4DEF-ABAA-C3C2246C90F6}"/>
    <hyperlink ref="F170" r:id="rId18" xr:uid="{AF15E225-CEBE-4093-BC40-A1687B249ACE}"/>
    <hyperlink ref="F175" r:id="rId19" xr:uid="{1495B6BF-51A6-43CD-99A0-A4CC0CEDAA48}"/>
    <hyperlink ref="F180" r:id="rId20" xr:uid="{370F83BD-EA6D-49BF-97A9-64C6ED4F28A5}"/>
    <hyperlink ref="F184" r:id="rId21" xr:uid="{9C560F43-E65D-4B4E-AD4E-C9389C825700}"/>
    <hyperlink ref="F188" r:id="rId22" xr:uid="{9C78CE92-13AA-4E59-B20E-DAE7D818014E}"/>
    <hyperlink ref="F195" r:id="rId23" xr:uid="{85F1B0B7-F1B8-4979-838C-C2A77A0A78E8}"/>
    <hyperlink ref="F200" r:id="rId24" xr:uid="{10BBB9C7-0CAE-423A-80E1-8B7DA47414F8}"/>
    <hyperlink ref="F204" r:id="rId25" xr:uid="{84C44A7C-9F75-43FB-8D56-B81EA899D2D2}"/>
    <hyperlink ref="F217" r:id="rId26" xr:uid="{BABC5011-2363-4355-8D50-43ACA615708C}"/>
    <hyperlink ref="F221" r:id="rId27" xr:uid="{07E74521-53F7-47B0-9F73-A557BA3E958A}"/>
    <hyperlink ref="F226" r:id="rId28" xr:uid="{E313DCD6-D3D3-4D1C-AA68-EE824F58931D}"/>
    <hyperlink ref="F230" r:id="rId29" xr:uid="{424EF529-B956-4AA5-9FB3-E93B29AEE6CC}"/>
    <hyperlink ref="F234" r:id="rId30" xr:uid="{29019ED7-9B07-4491-9698-BD80C916B631}"/>
    <hyperlink ref="F238" r:id="rId31" xr:uid="{DA731A8E-936F-4776-81A2-636ECF8CA1A8}"/>
    <hyperlink ref="F242" r:id="rId32" xr:uid="{03FBB75B-3674-42B7-808A-17D8EFD5710E}"/>
    <hyperlink ref="F246" r:id="rId33" xr:uid="{51777329-DAE2-42E9-BB3C-DBDE8EB38159}"/>
    <hyperlink ref="F250" r:id="rId34" xr:uid="{50C589BF-EA98-4AB1-BF43-1800C514543F}"/>
    <hyperlink ref="F260" r:id="rId35" xr:uid="{3F956354-078F-4110-8943-6D39CBB4E49F}"/>
    <hyperlink ref="F268" r:id="rId36" xr:uid="{2367253B-7F69-4B3C-8D37-841D48F56E4B}"/>
    <hyperlink ref="F292" r:id="rId37" xr:uid="{D0900102-541F-477D-898F-79CD203E4AC7}"/>
    <hyperlink ref="F296" r:id="rId38" xr:uid="{14041CC9-4F01-46FA-B7E0-96181505B3F4}"/>
    <hyperlink ref="F309" r:id="rId39" xr:uid="{F2856223-7470-42F1-8682-1964CD3D45C6}"/>
    <hyperlink ref="F322" r:id="rId40" xr:uid="{6FD644B6-DCC0-4FFA-869B-4B24607BA2D9}"/>
    <hyperlink ref="F330" r:id="rId41" xr:uid="{C08F4B76-234A-41FB-97E9-3EB51C8C35B3}"/>
    <hyperlink ref="F342" r:id="rId42" xr:uid="{89406F97-7A22-4261-B41C-B7E1303495FF}"/>
    <hyperlink ref="F346" r:id="rId43" xr:uid="{A92561E7-2D65-4BF0-9B80-7F69D19B9B07}"/>
    <hyperlink ref="F350" r:id="rId44" xr:uid="{1AF3B61F-CE2A-4490-A98B-18668125BD08}"/>
    <hyperlink ref="F353" r:id="rId45" xr:uid="{E6609F36-8C73-4561-AEE0-7D4953344C1A}"/>
    <hyperlink ref="F356" r:id="rId46" xr:uid="{95EE9731-4097-4E42-B1D9-E9D16C442081}"/>
    <hyperlink ref="F376" r:id="rId47" xr:uid="{F83C80F6-0DE8-47DB-81C1-C77B921AF736}"/>
    <hyperlink ref="F380" r:id="rId48" xr:uid="{999E2A23-6F7E-4999-B564-FA2B4814178A}"/>
    <hyperlink ref="F384" r:id="rId49" xr:uid="{F0E33A74-6560-457F-8EA2-C12DD106AC4B}"/>
    <hyperlink ref="F388" r:id="rId50" xr:uid="{88034775-691D-432D-ABCC-552995D68F2F}"/>
    <hyperlink ref="F393" r:id="rId51" xr:uid="{61A2E754-59BA-4659-8D1F-837BEC2148F5}"/>
    <hyperlink ref="F397" r:id="rId52" xr:uid="{62B143E2-393E-48D5-B5A2-EDBBF2E2B701}"/>
    <hyperlink ref="F401" r:id="rId53" xr:uid="{5CCEA54A-2A24-4F73-82DD-3692649E19F4}"/>
    <hyperlink ref="F405" r:id="rId54" xr:uid="{EB7EEFE9-A913-42BC-8399-D16EBB3DD8D3}"/>
    <hyperlink ref="F432" r:id="rId55" xr:uid="{0C017BEC-04EA-451F-AC6E-410797DA8036}"/>
    <hyperlink ref="F438" r:id="rId56" xr:uid="{EF0CAAAC-8854-4BFB-AC9D-ABD1B6E745EA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2544-FA41-4171-8D00-AE84C18220B4}">
  <sheetPr>
    <pageSetUpPr fitToPage="1"/>
  </sheetPr>
  <dimension ref="B2:BM120"/>
  <sheetViews>
    <sheetView showGridLines="0" topLeftCell="A71" workbookViewId="0">
      <selection activeCell="W99" sqref="W99"/>
    </sheetView>
  </sheetViews>
  <sheetFormatPr defaultRowHeight="11.25" x14ac:dyDescent="0.2"/>
  <cols>
    <col min="1" max="1" width="7.140625" style="126" customWidth="1"/>
    <col min="2" max="2" width="1" style="126" customWidth="1"/>
    <col min="3" max="3" width="3.5703125" style="126" customWidth="1"/>
    <col min="4" max="4" width="3.7109375" style="126" customWidth="1"/>
    <col min="5" max="5" width="14.7109375" style="126" customWidth="1"/>
    <col min="6" max="6" width="86.42578125" style="126" customWidth="1"/>
    <col min="7" max="7" width="6.42578125" style="126" customWidth="1"/>
    <col min="8" max="8" width="12" style="126" customWidth="1"/>
    <col min="9" max="9" width="13.5703125" style="126" customWidth="1"/>
    <col min="10" max="11" width="19.140625" style="126" customWidth="1"/>
    <col min="12" max="12" width="8" style="126" customWidth="1"/>
    <col min="13" max="13" width="9.28515625" style="126" hidden="1" customWidth="1"/>
    <col min="14" max="14" width="9.140625" style="126"/>
    <col min="15" max="20" width="12.140625" style="126" hidden="1" customWidth="1"/>
    <col min="21" max="21" width="14" style="126" hidden="1" customWidth="1"/>
    <col min="22" max="22" width="10.5703125" style="126" customWidth="1"/>
    <col min="23" max="23" width="14" style="126" customWidth="1"/>
    <col min="24" max="24" width="10.5703125" style="126" customWidth="1"/>
    <col min="25" max="25" width="12.85546875" style="126" customWidth="1"/>
    <col min="26" max="26" width="9.42578125" style="126" customWidth="1"/>
    <col min="27" max="27" width="12.85546875" style="126" customWidth="1"/>
    <col min="28" max="28" width="14" style="126" customWidth="1"/>
    <col min="29" max="29" width="9.42578125" style="126" customWidth="1"/>
    <col min="30" max="30" width="12.85546875" style="126" customWidth="1"/>
    <col min="31" max="31" width="14" style="126" customWidth="1"/>
    <col min="32" max="16384" width="9.140625" style="126"/>
  </cols>
  <sheetData>
    <row r="2" spans="2:46" ht="36.950000000000003" customHeight="1" x14ac:dyDescent="0.2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27" t="s">
        <v>529</v>
      </c>
    </row>
    <row r="3" spans="2:46" ht="6.95" customHeight="1" x14ac:dyDescent="0.2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30"/>
      <c r="AT3" s="127" t="s">
        <v>260</v>
      </c>
    </row>
    <row r="4" spans="2:46" ht="24.95" customHeight="1" x14ac:dyDescent="0.2">
      <c r="B4" s="130"/>
      <c r="D4" s="131" t="s">
        <v>530</v>
      </c>
      <c r="L4" s="130"/>
      <c r="M4" s="156" t="s">
        <v>497</v>
      </c>
      <c r="AT4" s="127" t="s">
        <v>496</v>
      </c>
    </row>
    <row r="5" spans="2:46" ht="6.95" customHeight="1" x14ac:dyDescent="0.2">
      <c r="B5" s="130"/>
      <c r="L5" s="130"/>
    </row>
    <row r="6" spans="2:46" ht="12" customHeight="1" x14ac:dyDescent="0.2">
      <c r="B6" s="130"/>
      <c r="D6" s="133" t="s">
        <v>498</v>
      </c>
      <c r="L6" s="130"/>
    </row>
    <row r="7" spans="2:46" ht="16.5" customHeight="1" x14ac:dyDescent="0.2">
      <c r="B7" s="130"/>
      <c r="E7" s="367" t="str">
        <f>'[3]Rekapitulace stavby'!K6</f>
        <v>Karlovy Vary, Sady Karla IV – revitalizace veřejného prostranství</v>
      </c>
      <c r="F7" s="368"/>
      <c r="G7" s="368"/>
      <c r="H7" s="368"/>
      <c r="L7" s="130"/>
    </row>
    <row r="8" spans="2:46" ht="12" customHeight="1" x14ac:dyDescent="0.2">
      <c r="B8" s="130"/>
      <c r="D8" s="133" t="s">
        <v>531</v>
      </c>
      <c r="L8" s="130"/>
    </row>
    <row r="9" spans="2:46" s="136" customFormat="1" ht="16.5" customHeight="1" x14ac:dyDescent="0.25">
      <c r="B9" s="137"/>
      <c r="E9" s="367" t="s">
        <v>964</v>
      </c>
      <c r="F9" s="366"/>
      <c r="G9" s="366"/>
      <c r="H9" s="366"/>
      <c r="L9" s="137"/>
    </row>
    <row r="10" spans="2:46" s="136" customFormat="1" ht="12" customHeight="1" x14ac:dyDescent="0.25">
      <c r="B10" s="137"/>
      <c r="D10" s="133" t="s">
        <v>533</v>
      </c>
      <c r="L10" s="137"/>
    </row>
    <row r="11" spans="2:46" s="136" customFormat="1" ht="16.5" customHeight="1" x14ac:dyDescent="0.25">
      <c r="B11" s="137"/>
      <c r="E11" s="362" t="s">
        <v>964</v>
      </c>
      <c r="F11" s="366"/>
      <c r="G11" s="366"/>
      <c r="H11" s="366"/>
      <c r="L11" s="137"/>
    </row>
    <row r="12" spans="2:46" s="136" customFormat="1" x14ac:dyDescent="0.25">
      <c r="B12" s="137"/>
      <c r="L12" s="137"/>
    </row>
    <row r="13" spans="2:46" s="136" customFormat="1" ht="12" customHeight="1" x14ac:dyDescent="0.25">
      <c r="B13" s="137"/>
      <c r="D13" s="133" t="s">
        <v>499</v>
      </c>
      <c r="F13" s="132" t="s">
        <v>180</v>
      </c>
      <c r="I13" s="133" t="s">
        <v>500</v>
      </c>
      <c r="J13" s="132" t="s">
        <v>180</v>
      </c>
      <c r="L13" s="137"/>
    </row>
    <row r="14" spans="2:46" s="136" customFormat="1" ht="12" customHeight="1" x14ac:dyDescent="0.25">
      <c r="B14" s="137"/>
      <c r="D14" s="133" t="s">
        <v>501</v>
      </c>
      <c r="F14" s="132" t="s">
        <v>220</v>
      </c>
      <c r="I14" s="133" t="s">
        <v>4</v>
      </c>
      <c r="J14" s="143" t="str">
        <f>'[3]Rekapitulace stavby'!AN8</f>
        <v>18. 12. 2023</v>
      </c>
      <c r="L14" s="137"/>
    </row>
    <row r="15" spans="2:46" s="136" customFormat="1" ht="10.9" customHeight="1" x14ac:dyDescent="0.25">
      <c r="B15" s="137"/>
      <c r="L15" s="137"/>
    </row>
    <row r="16" spans="2:46" s="136" customFormat="1" ht="12" customHeight="1" x14ac:dyDescent="0.25">
      <c r="B16" s="137"/>
      <c r="D16" s="133" t="s">
        <v>502</v>
      </c>
      <c r="I16" s="133" t="s">
        <v>503</v>
      </c>
      <c r="J16" s="132" t="s">
        <v>180</v>
      </c>
      <c r="L16" s="137"/>
    </row>
    <row r="17" spans="2:12" s="136" customFormat="1" ht="18" customHeight="1" x14ac:dyDescent="0.25">
      <c r="B17" s="137"/>
      <c r="E17" s="132" t="s">
        <v>7</v>
      </c>
      <c r="I17" s="133" t="s">
        <v>504</v>
      </c>
      <c r="J17" s="132" t="s">
        <v>180</v>
      </c>
      <c r="L17" s="137"/>
    </row>
    <row r="18" spans="2:12" s="136" customFormat="1" ht="6.95" customHeight="1" x14ac:dyDescent="0.25">
      <c r="B18" s="137"/>
      <c r="L18" s="137"/>
    </row>
    <row r="19" spans="2:12" s="136" customFormat="1" ht="12" customHeight="1" x14ac:dyDescent="0.25">
      <c r="B19" s="137"/>
      <c r="D19" s="133" t="s">
        <v>505</v>
      </c>
      <c r="I19" s="133" t="s">
        <v>503</v>
      </c>
      <c r="J19" s="134" t="str">
        <f>'[3]Rekapitulace stavby'!AN13</f>
        <v>Vyplň údaj</v>
      </c>
      <c r="L19" s="137"/>
    </row>
    <row r="20" spans="2:12" s="136" customFormat="1" ht="18" customHeight="1" x14ac:dyDescent="0.25">
      <c r="B20" s="137"/>
      <c r="E20" s="369" t="str">
        <f>'[3]Rekapitulace stavby'!E14</f>
        <v>Vyplň údaj</v>
      </c>
      <c r="F20" s="364"/>
      <c r="G20" s="364"/>
      <c r="H20" s="364"/>
      <c r="I20" s="133" t="s">
        <v>504</v>
      </c>
      <c r="J20" s="134" t="str">
        <f>'[3]Rekapitulace stavby'!AN14</f>
        <v>Vyplň údaj</v>
      </c>
      <c r="L20" s="137"/>
    </row>
    <row r="21" spans="2:12" s="136" customFormat="1" ht="6.95" customHeight="1" x14ac:dyDescent="0.25">
      <c r="B21" s="137"/>
      <c r="L21" s="137"/>
    </row>
    <row r="22" spans="2:12" s="136" customFormat="1" ht="12" customHeight="1" x14ac:dyDescent="0.25">
      <c r="B22" s="137"/>
      <c r="D22" s="133" t="s">
        <v>182</v>
      </c>
      <c r="I22" s="133" t="s">
        <v>503</v>
      </c>
      <c r="J22" s="132" t="str">
        <f>IF('[3]Rekapitulace stavby'!AN16="","",'[3]Rekapitulace stavby'!AN16)</f>
        <v/>
      </c>
      <c r="L22" s="137"/>
    </row>
    <row r="23" spans="2:12" s="136" customFormat="1" ht="18" customHeight="1" x14ac:dyDescent="0.25">
      <c r="B23" s="137"/>
      <c r="E23" s="132" t="str">
        <f>IF('[3]Rekapitulace stavby'!E17="","",'[3]Rekapitulace stavby'!E17)</f>
        <v xml:space="preserve"> </v>
      </c>
      <c r="I23" s="133" t="s">
        <v>504</v>
      </c>
      <c r="J23" s="132" t="str">
        <f>IF('[3]Rekapitulace stavby'!AN17="","",'[3]Rekapitulace stavby'!AN17)</f>
        <v/>
      </c>
      <c r="L23" s="137"/>
    </row>
    <row r="24" spans="2:12" s="136" customFormat="1" ht="6.95" customHeight="1" x14ac:dyDescent="0.25">
      <c r="B24" s="137"/>
      <c r="L24" s="137"/>
    </row>
    <row r="25" spans="2:12" s="136" customFormat="1" ht="12" customHeight="1" x14ac:dyDescent="0.25">
      <c r="B25" s="137"/>
      <c r="D25" s="133" t="s">
        <v>507</v>
      </c>
      <c r="I25" s="133" t="s">
        <v>503</v>
      </c>
      <c r="J25" s="132" t="str">
        <f>IF('[3]Rekapitulace stavby'!AN19="","",'[3]Rekapitulace stavby'!AN19)</f>
        <v/>
      </c>
      <c r="L25" s="137"/>
    </row>
    <row r="26" spans="2:12" s="136" customFormat="1" ht="18" customHeight="1" x14ac:dyDescent="0.25">
      <c r="B26" s="137"/>
      <c r="E26" s="132" t="str">
        <f>IF('[3]Rekapitulace stavby'!E20="","",'[3]Rekapitulace stavby'!E20)</f>
        <v xml:space="preserve"> </v>
      </c>
      <c r="I26" s="133" t="s">
        <v>504</v>
      </c>
      <c r="J26" s="132" t="str">
        <f>IF('[3]Rekapitulace stavby'!AN20="","",'[3]Rekapitulace stavby'!AN20)</f>
        <v/>
      </c>
      <c r="L26" s="137"/>
    </row>
    <row r="27" spans="2:12" s="136" customFormat="1" ht="6.95" customHeight="1" x14ac:dyDescent="0.25">
      <c r="B27" s="137"/>
      <c r="L27" s="137"/>
    </row>
    <row r="28" spans="2:12" s="136" customFormat="1" ht="12" customHeight="1" x14ac:dyDescent="0.25">
      <c r="B28" s="137"/>
      <c r="D28" s="133" t="s">
        <v>214</v>
      </c>
      <c r="L28" s="137"/>
    </row>
    <row r="29" spans="2:12" s="157" customFormat="1" ht="16.5" customHeight="1" x14ac:dyDescent="0.25">
      <c r="B29" s="158"/>
      <c r="E29" s="365" t="s">
        <v>180</v>
      </c>
      <c r="F29" s="365"/>
      <c r="G29" s="365"/>
      <c r="H29" s="365"/>
      <c r="L29" s="158"/>
    </row>
    <row r="30" spans="2:12" s="136" customFormat="1" ht="6.95" customHeight="1" x14ac:dyDescent="0.25">
      <c r="B30" s="137"/>
      <c r="L30" s="137"/>
    </row>
    <row r="31" spans="2:12" s="136" customFormat="1" ht="6.95" customHeight="1" x14ac:dyDescent="0.25">
      <c r="B31" s="137"/>
      <c r="D31" s="144"/>
      <c r="E31" s="144"/>
      <c r="F31" s="144"/>
      <c r="G31" s="144"/>
      <c r="H31" s="144"/>
      <c r="I31" s="144"/>
      <c r="J31" s="144"/>
      <c r="K31" s="144"/>
      <c r="L31" s="137"/>
    </row>
    <row r="32" spans="2:12" s="136" customFormat="1" ht="25.35" customHeight="1" x14ac:dyDescent="0.25">
      <c r="B32" s="137"/>
      <c r="D32" s="159" t="s">
        <v>508</v>
      </c>
      <c r="J32" s="153">
        <f>ROUND(J90, 2)</f>
        <v>0</v>
      </c>
      <c r="L32" s="137"/>
    </row>
    <row r="33" spans="2:12" s="136" customFormat="1" ht="6.95" customHeight="1" x14ac:dyDescent="0.25">
      <c r="B33" s="137"/>
      <c r="D33" s="144"/>
      <c r="E33" s="144"/>
      <c r="F33" s="144"/>
      <c r="G33" s="144"/>
      <c r="H33" s="144"/>
      <c r="I33" s="144"/>
      <c r="J33" s="144"/>
      <c r="K33" s="144"/>
      <c r="L33" s="137"/>
    </row>
    <row r="34" spans="2:12" s="136" customFormat="1" ht="14.45" customHeight="1" x14ac:dyDescent="0.25">
      <c r="B34" s="137"/>
      <c r="F34" s="138" t="s">
        <v>510</v>
      </c>
      <c r="I34" s="138" t="s">
        <v>509</v>
      </c>
      <c r="J34" s="138" t="s">
        <v>511</v>
      </c>
      <c r="L34" s="137"/>
    </row>
    <row r="35" spans="2:12" s="136" customFormat="1" ht="14.45" customHeight="1" x14ac:dyDescent="0.25">
      <c r="B35" s="137"/>
      <c r="D35" s="145" t="s">
        <v>512</v>
      </c>
      <c r="E35" s="133" t="s">
        <v>513</v>
      </c>
      <c r="F35" s="155">
        <f>ROUND((SUM(BE90:BE119)),  2)</f>
        <v>0</v>
      </c>
      <c r="I35" s="160">
        <v>0.21</v>
      </c>
      <c r="J35" s="155">
        <f>ROUND(((SUM(BE90:BE119))*I35),  2)</f>
        <v>0</v>
      </c>
      <c r="L35" s="137"/>
    </row>
    <row r="36" spans="2:12" s="136" customFormat="1" ht="14.45" customHeight="1" x14ac:dyDescent="0.25">
      <c r="B36" s="137"/>
      <c r="E36" s="133" t="s">
        <v>514</v>
      </c>
      <c r="F36" s="155">
        <f>ROUND((SUM(BF90:BF119)),  2)</f>
        <v>0</v>
      </c>
      <c r="I36" s="160">
        <v>0.15</v>
      </c>
      <c r="J36" s="155">
        <f>ROUND(((SUM(BF90:BF119))*I36),  2)</f>
        <v>0</v>
      </c>
      <c r="L36" s="137"/>
    </row>
    <row r="37" spans="2:12" s="136" customFormat="1" ht="14.45" hidden="1" customHeight="1" x14ac:dyDescent="0.25">
      <c r="B37" s="137"/>
      <c r="E37" s="133" t="s">
        <v>515</v>
      </c>
      <c r="F37" s="155">
        <f>ROUND((SUM(BG90:BG119)),  2)</f>
        <v>0</v>
      </c>
      <c r="I37" s="160">
        <v>0.21</v>
      </c>
      <c r="J37" s="155">
        <f>0</f>
        <v>0</v>
      </c>
      <c r="L37" s="137"/>
    </row>
    <row r="38" spans="2:12" s="136" customFormat="1" ht="14.45" hidden="1" customHeight="1" x14ac:dyDescent="0.25">
      <c r="B38" s="137"/>
      <c r="E38" s="133" t="s">
        <v>516</v>
      </c>
      <c r="F38" s="155">
        <f>ROUND((SUM(BH90:BH119)),  2)</f>
        <v>0</v>
      </c>
      <c r="I38" s="160">
        <v>0.15</v>
      </c>
      <c r="J38" s="155">
        <f>0</f>
        <v>0</v>
      </c>
      <c r="L38" s="137"/>
    </row>
    <row r="39" spans="2:12" s="136" customFormat="1" ht="14.45" hidden="1" customHeight="1" x14ac:dyDescent="0.25">
      <c r="B39" s="137"/>
      <c r="E39" s="133" t="s">
        <v>517</v>
      </c>
      <c r="F39" s="155">
        <f>ROUND((SUM(BI90:BI119)),  2)</f>
        <v>0</v>
      </c>
      <c r="I39" s="160">
        <v>0</v>
      </c>
      <c r="J39" s="155">
        <f>0</f>
        <v>0</v>
      </c>
      <c r="L39" s="137"/>
    </row>
    <row r="40" spans="2:12" s="136" customFormat="1" ht="6.95" customHeight="1" x14ac:dyDescent="0.25">
      <c r="B40" s="137"/>
      <c r="L40" s="137"/>
    </row>
    <row r="41" spans="2:12" s="136" customFormat="1" ht="25.35" customHeight="1" x14ac:dyDescent="0.25">
      <c r="B41" s="137"/>
      <c r="C41" s="161"/>
      <c r="D41" s="162" t="s">
        <v>518</v>
      </c>
      <c r="E41" s="147"/>
      <c r="F41" s="147"/>
      <c r="G41" s="163" t="s">
        <v>519</v>
      </c>
      <c r="H41" s="164" t="s">
        <v>520</v>
      </c>
      <c r="I41" s="147"/>
      <c r="J41" s="165">
        <f>SUM(J32:J39)</f>
        <v>0</v>
      </c>
      <c r="K41" s="166"/>
      <c r="L41" s="137"/>
    </row>
    <row r="42" spans="2:12" s="136" customFormat="1" ht="14.45" customHeight="1" x14ac:dyDescent="0.25"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37"/>
    </row>
    <row r="46" spans="2:12" s="136" customFormat="1" ht="6.95" customHeigh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37"/>
    </row>
    <row r="47" spans="2:12" s="136" customFormat="1" ht="24.95" customHeight="1" x14ac:dyDescent="0.25">
      <c r="B47" s="137"/>
      <c r="C47" s="131" t="s">
        <v>534</v>
      </c>
      <c r="L47" s="137"/>
    </row>
    <row r="48" spans="2:12" s="136" customFormat="1" ht="6.95" customHeight="1" x14ac:dyDescent="0.25">
      <c r="B48" s="137"/>
      <c r="L48" s="137"/>
    </row>
    <row r="49" spans="2:47" s="136" customFormat="1" ht="12" customHeight="1" x14ac:dyDescent="0.25">
      <c r="B49" s="137"/>
      <c r="C49" s="133" t="s">
        <v>498</v>
      </c>
      <c r="L49" s="137"/>
    </row>
    <row r="50" spans="2:47" s="136" customFormat="1" ht="16.5" customHeight="1" x14ac:dyDescent="0.25">
      <c r="B50" s="137"/>
      <c r="E50" s="367" t="str">
        <f>E7</f>
        <v>Karlovy Vary, Sady Karla IV – revitalizace veřejného prostranství</v>
      </c>
      <c r="F50" s="368"/>
      <c r="G50" s="368"/>
      <c r="H50" s="368"/>
      <c r="L50" s="137"/>
    </row>
    <row r="51" spans="2:47" ht="12" customHeight="1" x14ac:dyDescent="0.2">
      <c r="B51" s="130"/>
      <c r="C51" s="133" t="s">
        <v>531</v>
      </c>
      <c r="L51" s="130"/>
    </row>
    <row r="52" spans="2:47" s="136" customFormat="1" ht="16.5" customHeight="1" x14ac:dyDescent="0.25">
      <c r="B52" s="137"/>
      <c r="E52" s="367" t="s">
        <v>964</v>
      </c>
      <c r="F52" s="366"/>
      <c r="G52" s="366"/>
      <c r="H52" s="366"/>
      <c r="L52" s="137"/>
    </row>
    <row r="53" spans="2:47" s="136" customFormat="1" ht="12" customHeight="1" x14ac:dyDescent="0.25">
      <c r="B53" s="137"/>
      <c r="C53" s="133" t="s">
        <v>533</v>
      </c>
      <c r="L53" s="137"/>
    </row>
    <row r="54" spans="2:47" s="136" customFormat="1" ht="16.5" customHeight="1" x14ac:dyDescent="0.25">
      <c r="B54" s="137"/>
      <c r="E54" s="362" t="str">
        <f>E11</f>
        <v>VRN - Vedlejší rozpočtové náklady</v>
      </c>
      <c r="F54" s="366"/>
      <c r="G54" s="366"/>
      <c r="H54" s="366"/>
      <c r="L54" s="137"/>
    </row>
    <row r="55" spans="2:47" s="136" customFormat="1" ht="6.95" customHeight="1" x14ac:dyDescent="0.25">
      <c r="B55" s="137"/>
      <c r="L55" s="137"/>
    </row>
    <row r="56" spans="2:47" s="136" customFormat="1" ht="12" customHeight="1" x14ac:dyDescent="0.25">
      <c r="B56" s="137"/>
      <c r="C56" s="133" t="s">
        <v>501</v>
      </c>
      <c r="F56" s="132" t="str">
        <f>F14</f>
        <v>Karlovy Vary</v>
      </c>
      <c r="I56" s="133" t="s">
        <v>4</v>
      </c>
      <c r="J56" s="143" t="str">
        <f>IF(J14="","",J14)</f>
        <v>18. 12. 2023</v>
      </c>
      <c r="L56" s="137"/>
    </row>
    <row r="57" spans="2:47" s="136" customFormat="1" ht="6.95" customHeight="1" x14ac:dyDescent="0.25">
      <c r="B57" s="137"/>
      <c r="L57" s="137"/>
    </row>
    <row r="58" spans="2:47" s="136" customFormat="1" ht="15.2" customHeight="1" x14ac:dyDescent="0.25">
      <c r="B58" s="137"/>
      <c r="C58" s="133" t="s">
        <v>502</v>
      </c>
      <c r="F58" s="132" t="str">
        <f>E17</f>
        <v>Statutární město Karlovy Vary</v>
      </c>
      <c r="I58" s="133" t="s">
        <v>182</v>
      </c>
      <c r="J58" s="135" t="str">
        <f>E23</f>
        <v xml:space="preserve"> </v>
      </c>
      <c r="L58" s="137"/>
    </row>
    <row r="59" spans="2:47" s="136" customFormat="1" ht="15.2" customHeight="1" x14ac:dyDescent="0.25">
      <c r="B59" s="137"/>
      <c r="C59" s="133" t="s">
        <v>505</v>
      </c>
      <c r="F59" s="132" t="str">
        <f>IF(E20="","",E20)</f>
        <v>Vyplň údaj</v>
      </c>
      <c r="I59" s="133" t="s">
        <v>507</v>
      </c>
      <c r="J59" s="135" t="str">
        <f>E26</f>
        <v xml:space="preserve"> </v>
      </c>
      <c r="L59" s="137"/>
    </row>
    <row r="60" spans="2:47" s="136" customFormat="1" ht="10.35" customHeight="1" x14ac:dyDescent="0.25">
      <c r="B60" s="137"/>
      <c r="L60" s="137"/>
    </row>
    <row r="61" spans="2:47" s="136" customFormat="1" ht="29.25" customHeight="1" x14ac:dyDescent="0.25">
      <c r="B61" s="137"/>
      <c r="C61" s="167" t="s">
        <v>535</v>
      </c>
      <c r="D61" s="161"/>
      <c r="E61" s="161"/>
      <c r="F61" s="161"/>
      <c r="G61" s="161"/>
      <c r="H61" s="161"/>
      <c r="I61" s="161"/>
      <c r="J61" s="168" t="s">
        <v>536</v>
      </c>
      <c r="K61" s="161"/>
      <c r="L61" s="137"/>
    </row>
    <row r="62" spans="2:47" s="136" customFormat="1" ht="10.35" customHeight="1" x14ac:dyDescent="0.25">
      <c r="B62" s="137"/>
      <c r="L62" s="137"/>
    </row>
    <row r="63" spans="2:47" s="136" customFormat="1" ht="22.9" customHeight="1" x14ac:dyDescent="0.25">
      <c r="B63" s="137"/>
      <c r="C63" s="169" t="s">
        <v>522</v>
      </c>
      <c r="J63" s="153">
        <f>J90</f>
        <v>0</v>
      </c>
      <c r="L63" s="137"/>
      <c r="AU63" s="127" t="s">
        <v>537</v>
      </c>
    </row>
    <row r="64" spans="2:47" s="170" customFormat="1" ht="24.95" customHeight="1" x14ac:dyDescent="0.25">
      <c r="B64" s="171"/>
      <c r="D64" s="172" t="s">
        <v>964</v>
      </c>
      <c r="E64" s="173"/>
      <c r="F64" s="173"/>
      <c r="G64" s="173"/>
      <c r="H64" s="173"/>
      <c r="I64" s="173"/>
      <c r="J64" s="174">
        <f>J91</f>
        <v>0</v>
      </c>
      <c r="L64" s="171"/>
    </row>
    <row r="65" spans="2:12" s="154" customFormat="1" ht="19.899999999999999" customHeight="1" x14ac:dyDescent="0.25">
      <c r="B65" s="175"/>
      <c r="D65" s="176" t="s">
        <v>965</v>
      </c>
      <c r="E65" s="177"/>
      <c r="F65" s="177"/>
      <c r="G65" s="177"/>
      <c r="H65" s="177"/>
      <c r="I65" s="177"/>
      <c r="J65" s="178">
        <f>J92</f>
        <v>0</v>
      </c>
      <c r="L65" s="175"/>
    </row>
    <row r="66" spans="2:12" s="154" customFormat="1" ht="19.899999999999999" customHeight="1" x14ac:dyDescent="0.25">
      <c r="B66" s="175"/>
      <c r="D66" s="176" t="s">
        <v>966</v>
      </c>
      <c r="E66" s="177"/>
      <c r="F66" s="177"/>
      <c r="G66" s="177"/>
      <c r="H66" s="177"/>
      <c r="I66" s="177"/>
      <c r="J66" s="178">
        <f>J104</f>
        <v>0</v>
      </c>
      <c r="L66" s="175"/>
    </row>
    <row r="67" spans="2:12" s="154" customFormat="1" ht="19.899999999999999" customHeight="1" x14ac:dyDescent="0.25">
      <c r="B67" s="175"/>
      <c r="D67" s="176" t="s">
        <v>967</v>
      </c>
      <c r="E67" s="177"/>
      <c r="F67" s="177"/>
      <c r="G67" s="177"/>
      <c r="H67" s="177"/>
      <c r="I67" s="177"/>
      <c r="J67" s="178">
        <f>J112</f>
        <v>0</v>
      </c>
      <c r="L67" s="175"/>
    </row>
    <row r="68" spans="2:12" s="154" customFormat="1" ht="19.899999999999999" customHeight="1" x14ac:dyDescent="0.25">
      <c r="B68" s="175"/>
      <c r="D68" s="176" t="s">
        <v>1250</v>
      </c>
      <c r="E68" s="177"/>
      <c r="F68" s="177"/>
      <c r="G68" s="177"/>
      <c r="H68" s="177"/>
      <c r="I68" s="177"/>
      <c r="J68" s="178">
        <f>J117</f>
        <v>0</v>
      </c>
      <c r="L68" s="175"/>
    </row>
    <row r="69" spans="2:12" s="136" customFormat="1" ht="21.75" customHeight="1" x14ac:dyDescent="0.25">
      <c r="B69" s="137"/>
      <c r="L69" s="137"/>
    </row>
    <row r="70" spans="2:12" s="136" customFormat="1" ht="6.95" customHeight="1" x14ac:dyDescent="0.2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37"/>
    </row>
    <row r="74" spans="2:12" s="136" customFormat="1" ht="6.95" customHeigh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37"/>
    </row>
    <row r="75" spans="2:12" s="136" customFormat="1" ht="24.95" customHeight="1" x14ac:dyDescent="0.25">
      <c r="B75" s="137"/>
      <c r="C75" s="131" t="s">
        <v>546</v>
      </c>
      <c r="L75" s="137"/>
    </row>
    <row r="76" spans="2:12" s="136" customFormat="1" ht="6.95" customHeight="1" x14ac:dyDescent="0.25">
      <c r="B76" s="137"/>
      <c r="L76" s="137"/>
    </row>
    <row r="77" spans="2:12" s="136" customFormat="1" ht="12" customHeight="1" x14ac:dyDescent="0.25">
      <c r="B77" s="137"/>
      <c r="C77" s="133" t="s">
        <v>498</v>
      </c>
      <c r="L77" s="137"/>
    </row>
    <row r="78" spans="2:12" s="136" customFormat="1" ht="16.5" customHeight="1" x14ac:dyDescent="0.25">
      <c r="B78" s="137"/>
      <c r="E78" s="367" t="str">
        <f>E7</f>
        <v>Karlovy Vary, Sady Karla IV – revitalizace veřejného prostranství</v>
      </c>
      <c r="F78" s="368"/>
      <c r="G78" s="368"/>
      <c r="H78" s="368"/>
      <c r="L78" s="137"/>
    </row>
    <row r="79" spans="2:12" ht="12" customHeight="1" x14ac:dyDescent="0.2">
      <c r="B79" s="130"/>
      <c r="C79" s="133" t="s">
        <v>531</v>
      </c>
      <c r="L79" s="130"/>
    </row>
    <row r="80" spans="2:12" s="136" customFormat="1" ht="16.5" customHeight="1" x14ac:dyDescent="0.25">
      <c r="B80" s="137"/>
      <c r="E80" s="367" t="s">
        <v>964</v>
      </c>
      <c r="F80" s="366"/>
      <c r="G80" s="366"/>
      <c r="H80" s="366"/>
      <c r="L80" s="137"/>
    </row>
    <row r="81" spans="2:65" s="136" customFormat="1" ht="12" customHeight="1" x14ac:dyDescent="0.25">
      <c r="B81" s="137"/>
      <c r="C81" s="133" t="s">
        <v>533</v>
      </c>
      <c r="L81" s="137"/>
    </row>
    <row r="82" spans="2:65" s="136" customFormat="1" ht="16.5" customHeight="1" x14ac:dyDescent="0.25">
      <c r="B82" s="137"/>
      <c r="E82" s="362" t="str">
        <f>E11</f>
        <v>VRN - Vedlejší rozpočtové náklady</v>
      </c>
      <c r="F82" s="366"/>
      <c r="G82" s="366"/>
      <c r="H82" s="366"/>
      <c r="L82" s="137"/>
    </row>
    <row r="83" spans="2:65" s="136" customFormat="1" ht="6.95" customHeight="1" x14ac:dyDescent="0.25">
      <c r="B83" s="137"/>
      <c r="L83" s="137"/>
    </row>
    <row r="84" spans="2:65" s="136" customFormat="1" ht="12" customHeight="1" x14ac:dyDescent="0.25">
      <c r="B84" s="137"/>
      <c r="C84" s="133" t="s">
        <v>501</v>
      </c>
      <c r="F84" s="132" t="str">
        <f>F14</f>
        <v>Karlovy Vary</v>
      </c>
      <c r="I84" s="133" t="s">
        <v>4</v>
      </c>
      <c r="J84" s="143" t="str">
        <f>IF(J14="","",J14)</f>
        <v>18. 12. 2023</v>
      </c>
      <c r="L84" s="137"/>
    </row>
    <row r="85" spans="2:65" s="136" customFormat="1" ht="6.95" customHeight="1" x14ac:dyDescent="0.25">
      <c r="B85" s="137"/>
      <c r="L85" s="137"/>
    </row>
    <row r="86" spans="2:65" s="136" customFormat="1" ht="15.2" customHeight="1" x14ac:dyDescent="0.25">
      <c r="B86" s="137"/>
      <c r="C86" s="133" t="s">
        <v>502</v>
      </c>
      <c r="F86" s="132" t="str">
        <f>E17</f>
        <v>Statutární město Karlovy Vary</v>
      </c>
      <c r="I86" s="133" t="s">
        <v>182</v>
      </c>
      <c r="J86" s="135" t="str">
        <f>E23</f>
        <v xml:space="preserve"> </v>
      </c>
      <c r="L86" s="137"/>
    </row>
    <row r="87" spans="2:65" s="136" customFormat="1" ht="15.2" customHeight="1" x14ac:dyDescent="0.25">
      <c r="B87" s="137"/>
      <c r="C87" s="133" t="s">
        <v>505</v>
      </c>
      <c r="F87" s="132" t="str">
        <f>IF(E20="","",E20)</f>
        <v>Vyplň údaj</v>
      </c>
      <c r="I87" s="133" t="s">
        <v>507</v>
      </c>
      <c r="J87" s="135" t="str">
        <f>E26</f>
        <v xml:space="preserve"> </v>
      </c>
      <c r="L87" s="137"/>
    </row>
    <row r="88" spans="2:65" s="136" customFormat="1" ht="10.35" customHeight="1" x14ac:dyDescent="0.25">
      <c r="B88" s="137"/>
      <c r="L88" s="137"/>
    </row>
    <row r="89" spans="2:65" s="179" customFormat="1" ht="29.25" customHeight="1" x14ac:dyDescent="0.25">
      <c r="B89" s="180"/>
      <c r="C89" s="181" t="s">
        <v>547</v>
      </c>
      <c r="D89" s="182" t="s">
        <v>521</v>
      </c>
      <c r="E89" s="182" t="s">
        <v>23</v>
      </c>
      <c r="F89" s="182" t="s">
        <v>24</v>
      </c>
      <c r="G89" s="182" t="s">
        <v>25</v>
      </c>
      <c r="H89" s="182" t="s">
        <v>227</v>
      </c>
      <c r="I89" s="182" t="s">
        <v>548</v>
      </c>
      <c r="J89" s="182" t="s">
        <v>536</v>
      </c>
      <c r="K89" s="183" t="s">
        <v>549</v>
      </c>
      <c r="L89" s="180"/>
      <c r="M89" s="148" t="s">
        <v>180</v>
      </c>
      <c r="N89" s="149" t="s">
        <v>512</v>
      </c>
      <c r="O89" s="149" t="s">
        <v>550</v>
      </c>
      <c r="P89" s="149" t="s">
        <v>551</v>
      </c>
      <c r="Q89" s="149" t="s">
        <v>552</v>
      </c>
      <c r="R89" s="149" t="s">
        <v>553</v>
      </c>
      <c r="S89" s="149" t="s">
        <v>554</v>
      </c>
      <c r="T89" s="150" t="s">
        <v>555</v>
      </c>
    </row>
    <row r="90" spans="2:65" s="136" customFormat="1" ht="22.9" customHeight="1" x14ac:dyDescent="0.25">
      <c r="B90" s="137"/>
      <c r="C90" s="152" t="s">
        <v>556</v>
      </c>
      <c r="J90" s="184">
        <f>BK90</f>
        <v>0</v>
      </c>
      <c r="L90" s="137"/>
      <c r="M90" s="151"/>
      <c r="N90" s="144"/>
      <c r="O90" s="144"/>
      <c r="P90" s="185">
        <f>P91</f>
        <v>0</v>
      </c>
      <c r="Q90" s="144"/>
      <c r="R90" s="185">
        <f>R91</f>
        <v>0</v>
      </c>
      <c r="S90" s="144"/>
      <c r="T90" s="186">
        <f>T91</f>
        <v>0</v>
      </c>
      <c r="AT90" s="127" t="s">
        <v>523</v>
      </c>
      <c r="AU90" s="127" t="s">
        <v>537</v>
      </c>
      <c r="BK90" s="187">
        <f>BK91</f>
        <v>0</v>
      </c>
    </row>
    <row r="91" spans="2:65" s="188" customFormat="1" ht="25.9" customHeight="1" x14ac:dyDescent="0.2">
      <c r="B91" s="189"/>
      <c r="D91" s="190" t="s">
        <v>523</v>
      </c>
      <c r="E91" s="191" t="s">
        <v>527</v>
      </c>
      <c r="F91" s="191" t="s">
        <v>528</v>
      </c>
      <c r="I91" s="192"/>
      <c r="J91" s="193">
        <f>BK91</f>
        <v>0</v>
      </c>
      <c r="L91" s="189"/>
      <c r="M91" s="194"/>
      <c r="P91" s="195">
        <f>P92+P104+P112+P117</f>
        <v>0</v>
      </c>
      <c r="R91" s="195">
        <f>R92+R104+R112+R117</f>
        <v>0</v>
      </c>
      <c r="T91" s="196">
        <f>T92+T104+T112+T117</f>
        <v>0</v>
      </c>
      <c r="AR91" s="190" t="s">
        <v>264</v>
      </c>
      <c r="AT91" s="197" t="s">
        <v>523</v>
      </c>
      <c r="AU91" s="197" t="s">
        <v>295</v>
      </c>
      <c r="AY91" s="190" t="s">
        <v>558</v>
      </c>
      <c r="BK91" s="198">
        <f>BK92+BK104+BK112+BK117</f>
        <v>0</v>
      </c>
    </row>
    <row r="92" spans="2:65" s="188" customFormat="1" ht="22.9" customHeight="1" x14ac:dyDescent="0.2">
      <c r="B92" s="189"/>
      <c r="D92" s="190" t="s">
        <v>523</v>
      </c>
      <c r="E92" s="199" t="s">
        <v>968</v>
      </c>
      <c r="F92" s="199" t="s">
        <v>969</v>
      </c>
      <c r="I92" s="192"/>
      <c r="J92" s="200">
        <f>BK92</f>
        <v>0</v>
      </c>
      <c r="L92" s="189"/>
      <c r="M92" s="194"/>
      <c r="P92" s="195">
        <f>SUM(P93:P103)</f>
        <v>0</v>
      </c>
      <c r="R92" s="195">
        <f>SUM(R93:R103)</f>
        <v>0</v>
      </c>
      <c r="T92" s="196">
        <f>SUM(T93:T103)</f>
        <v>0</v>
      </c>
      <c r="AR92" s="190" t="s">
        <v>264</v>
      </c>
      <c r="AT92" s="197" t="s">
        <v>523</v>
      </c>
      <c r="AU92" s="197" t="s">
        <v>254</v>
      </c>
      <c r="AY92" s="190" t="s">
        <v>558</v>
      </c>
      <c r="BK92" s="198">
        <f>SUM(BK93:BK103)</f>
        <v>0</v>
      </c>
    </row>
    <row r="93" spans="2:65" s="136" customFormat="1" ht="16.5" customHeight="1" x14ac:dyDescent="0.25">
      <c r="B93" s="137"/>
      <c r="C93" s="201" t="s">
        <v>254</v>
      </c>
      <c r="D93" s="201" t="s">
        <v>560</v>
      </c>
      <c r="E93" s="202" t="s">
        <v>970</v>
      </c>
      <c r="F93" s="203" t="s">
        <v>971</v>
      </c>
      <c r="G93" s="204" t="s">
        <v>159</v>
      </c>
      <c r="H93" s="205">
        <v>1</v>
      </c>
      <c r="I93" s="206"/>
      <c r="J93" s="207">
        <f>ROUND(I93*H93,2)</f>
        <v>0</v>
      </c>
      <c r="K93" s="203" t="s">
        <v>180</v>
      </c>
      <c r="L93" s="137"/>
      <c r="M93" s="208" t="s">
        <v>180</v>
      </c>
      <c r="N93" s="209" t="s">
        <v>513</v>
      </c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12" t="s">
        <v>972</v>
      </c>
      <c r="AT93" s="212" t="s">
        <v>560</v>
      </c>
      <c r="AU93" s="212" t="s">
        <v>260</v>
      </c>
      <c r="AY93" s="127" t="s">
        <v>558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27" t="s">
        <v>254</v>
      </c>
      <c r="BK93" s="213">
        <f>ROUND(I93*H93,2)</f>
        <v>0</v>
      </c>
      <c r="BL93" s="127" t="s">
        <v>972</v>
      </c>
      <c r="BM93" s="212" t="s">
        <v>973</v>
      </c>
    </row>
    <row r="94" spans="2:65" s="136" customFormat="1" x14ac:dyDescent="0.25">
      <c r="B94" s="137"/>
      <c r="D94" s="219" t="s">
        <v>1196</v>
      </c>
      <c r="F94" s="351" t="s">
        <v>971</v>
      </c>
      <c r="I94" s="215"/>
      <c r="L94" s="137"/>
      <c r="M94" s="216"/>
      <c r="T94" s="146"/>
      <c r="AT94" s="127" t="s">
        <v>1196</v>
      </c>
      <c r="AU94" s="127" t="s">
        <v>260</v>
      </c>
    </row>
    <row r="95" spans="2:65" s="136" customFormat="1" ht="16.5" customHeight="1" x14ac:dyDescent="0.25">
      <c r="B95" s="137"/>
      <c r="C95" s="201" t="s">
        <v>260</v>
      </c>
      <c r="D95" s="201" t="s">
        <v>560</v>
      </c>
      <c r="E95" s="202" t="s">
        <v>974</v>
      </c>
      <c r="F95" s="203" t="s">
        <v>975</v>
      </c>
      <c r="G95" s="204" t="s">
        <v>159</v>
      </c>
      <c r="H95" s="205">
        <v>1</v>
      </c>
      <c r="I95" s="206"/>
      <c r="J95" s="207">
        <f>ROUND(I95*H95,2)</f>
        <v>0</v>
      </c>
      <c r="K95" s="203" t="s">
        <v>180</v>
      </c>
      <c r="L95" s="137"/>
      <c r="M95" s="208" t="s">
        <v>180</v>
      </c>
      <c r="N95" s="209" t="s">
        <v>513</v>
      </c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12" t="s">
        <v>972</v>
      </c>
      <c r="AT95" s="212" t="s">
        <v>560</v>
      </c>
      <c r="AU95" s="212" t="s">
        <v>260</v>
      </c>
      <c r="AY95" s="127" t="s">
        <v>558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27" t="s">
        <v>254</v>
      </c>
      <c r="BK95" s="213">
        <f>ROUND(I95*H95,2)</f>
        <v>0</v>
      </c>
      <c r="BL95" s="127" t="s">
        <v>972</v>
      </c>
      <c r="BM95" s="212" t="s">
        <v>976</v>
      </c>
    </row>
    <row r="96" spans="2:65" s="136" customFormat="1" x14ac:dyDescent="0.25">
      <c r="B96" s="137"/>
      <c r="D96" s="219" t="s">
        <v>1196</v>
      </c>
      <c r="F96" s="351" t="s">
        <v>975</v>
      </c>
      <c r="I96" s="215"/>
      <c r="L96" s="137"/>
      <c r="M96" s="216"/>
      <c r="T96" s="146"/>
      <c r="AT96" s="127" t="s">
        <v>1196</v>
      </c>
      <c r="AU96" s="127" t="s">
        <v>260</v>
      </c>
    </row>
    <row r="97" spans="2:65" s="136" customFormat="1" ht="16.5" customHeight="1" x14ac:dyDescent="0.25">
      <c r="B97" s="137"/>
      <c r="C97" s="201" t="s">
        <v>262</v>
      </c>
      <c r="D97" s="201" t="s">
        <v>560</v>
      </c>
      <c r="E97" s="202" t="s">
        <v>977</v>
      </c>
      <c r="F97" s="203" t="s">
        <v>978</v>
      </c>
      <c r="G97" s="204" t="s">
        <v>159</v>
      </c>
      <c r="H97" s="205">
        <v>1</v>
      </c>
      <c r="I97" s="206"/>
      <c r="J97" s="207">
        <f>ROUND(I97*H97,2)</f>
        <v>0</v>
      </c>
      <c r="K97" s="203" t="s">
        <v>180</v>
      </c>
      <c r="L97" s="137"/>
      <c r="M97" s="208" t="s">
        <v>180</v>
      </c>
      <c r="N97" s="209" t="s">
        <v>513</v>
      </c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212" t="s">
        <v>972</v>
      </c>
      <c r="AT97" s="212" t="s">
        <v>560</v>
      </c>
      <c r="AU97" s="212" t="s">
        <v>260</v>
      </c>
      <c r="AY97" s="127" t="s">
        <v>558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27" t="s">
        <v>254</v>
      </c>
      <c r="BK97" s="213">
        <f>ROUND(I97*H97,2)</f>
        <v>0</v>
      </c>
      <c r="BL97" s="127" t="s">
        <v>972</v>
      </c>
      <c r="BM97" s="212" t="s">
        <v>979</v>
      </c>
    </row>
    <row r="98" spans="2:65" s="136" customFormat="1" x14ac:dyDescent="0.25">
      <c r="B98" s="137"/>
      <c r="D98" s="219" t="s">
        <v>1196</v>
      </c>
      <c r="F98" s="351" t="s">
        <v>978</v>
      </c>
      <c r="I98" s="215"/>
      <c r="L98" s="137"/>
      <c r="M98" s="216"/>
      <c r="T98" s="146"/>
      <c r="AT98" s="127" t="s">
        <v>1196</v>
      </c>
      <c r="AU98" s="127" t="s">
        <v>260</v>
      </c>
    </row>
    <row r="99" spans="2:65" s="136" customFormat="1" ht="16.5" customHeight="1" x14ac:dyDescent="0.25">
      <c r="B99" s="137"/>
      <c r="C99" s="201" t="s">
        <v>263</v>
      </c>
      <c r="D99" s="201" t="s">
        <v>560</v>
      </c>
      <c r="E99" s="202" t="s">
        <v>980</v>
      </c>
      <c r="F99" s="203" t="s">
        <v>981</v>
      </c>
      <c r="G99" s="204" t="s">
        <v>159</v>
      </c>
      <c r="H99" s="205">
        <v>1</v>
      </c>
      <c r="I99" s="206"/>
      <c r="J99" s="207">
        <f>ROUND(I99*H99,2)</f>
        <v>0</v>
      </c>
      <c r="K99" s="203" t="s">
        <v>180</v>
      </c>
      <c r="L99" s="137"/>
      <c r="M99" s="208" t="s">
        <v>180</v>
      </c>
      <c r="N99" s="209" t="s">
        <v>513</v>
      </c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212" t="s">
        <v>972</v>
      </c>
      <c r="AT99" s="212" t="s">
        <v>560</v>
      </c>
      <c r="AU99" s="212" t="s">
        <v>260</v>
      </c>
      <c r="AY99" s="127" t="s">
        <v>558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27" t="s">
        <v>254</v>
      </c>
      <c r="BK99" s="213">
        <f>ROUND(I99*H99,2)</f>
        <v>0</v>
      </c>
      <c r="BL99" s="127" t="s">
        <v>972</v>
      </c>
      <c r="BM99" s="212" t="s">
        <v>982</v>
      </c>
    </row>
    <row r="100" spans="2:65" s="136" customFormat="1" x14ac:dyDescent="0.25">
      <c r="B100" s="137"/>
      <c r="D100" s="219" t="s">
        <v>1196</v>
      </c>
      <c r="F100" s="351" t="s">
        <v>981</v>
      </c>
      <c r="I100" s="215"/>
      <c r="L100" s="137"/>
      <c r="M100" s="216"/>
      <c r="T100" s="146"/>
      <c r="AT100" s="127" t="s">
        <v>1196</v>
      </c>
      <c r="AU100" s="127" t="s">
        <v>260</v>
      </c>
    </row>
    <row r="101" spans="2:65" s="136" customFormat="1" ht="16.5" customHeight="1" x14ac:dyDescent="0.25">
      <c r="B101" s="137"/>
      <c r="C101" s="201" t="s">
        <v>264</v>
      </c>
      <c r="D101" s="201" t="s">
        <v>560</v>
      </c>
      <c r="E101" s="202" t="s">
        <v>1314</v>
      </c>
      <c r="F101" s="203" t="s">
        <v>1315</v>
      </c>
      <c r="G101" s="204" t="s">
        <v>159</v>
      </c>
      <c r="H101" s="205">
        <v>1</v>
      </c>
      <c r="I101" s="206"/>
      <c r="J101" s="207">
        <f>ROUND(I101*H101,2)</f>
        <v>0</v>
      </c>
      <c r="K101" s="203" t="s">
        <v>180</v>
      </c>
      <c r="L101" s="137"/>
      <c r="M101" s="208" t="s">
        <v>180</v>
      </c>
      <c r="N101" s="209" t="s">
        <v>513</v>
      </c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12" t="s">
        <v>972</v>
      </c>
      <c r="AT101" s="212" t="s">
        <v>560</v>
      </c>
      <c r="AU101" s="212" t="s">
        <v>260</v>
      </c>
      <c r="AY101" s="127" t="s">
        <v>558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27" t="s">
        <v>254</v>
      </c>
      <c r="BK101" s="213">
        <f>ROUND(I101*H101,2)</f>
        <v>0</v>
      </c>
      <c r="BL101" s="127" t="s">
        <v>972</v>
      </c>
      <c r="BM101" s="212" t="s">
        <v>1316</v>
      </c>
    </row>
    <row r="102" spans="2:65" s="136" customFormat="1" x14ac:dyDescent="0.25">
      <c r="B102" s="137"/>
      <c r="D102" s="219" t="s">
        <v>1196</v>
      </c>
      <c r="F102" s="351" t="s">
        <v>1315</v>
      </c>
      <c r="I102" s="215"/>
      <c r="L102" s="137"/>
      <c r="M102" s="216"/>
      <c r="T102" s="146"/>
      <c r="AT102" s="127" t="s">
        <v>1196</v>
      </c>
      <c r="AU102" s="127" t="s">
        <v>260</v>
      </c>
    </row>
    <row r="103" spans="2:65" s="217" customFormat="1" x14ac:dyDescent="0.25">
      <c r="B103" s="218"/>
      <c r="D103" s="219" t="s">
        <v>567</v>
      </c>
      <c r="E103" s="220" t="s">
        <v>180</v>
      </c>
      <c r="F103" s="221" t="s">
        <v>1317</v>
      </c>
      <c r="H103" s="222">
        <v>1</v>
      </c>
      <c r="I103" s="223"/>
      <c r="L103" s="218"/>
      <c r="M103" s="224"/>
      <c r="T103" s="225"/>
      <c r="AT103" s="220" t="s">
        <v>567</v>
      </c>
      <c r="AU103" s="220" t="s">
        <v>260</v>
      </c>
      <c r="AV103" s="217" t="s">
        <v>260</v>
      </c>
      <c r="AW103" s="217" t="s">
        <v>506</v>
      </c>
      <c r="AX103" s="217" t="s">
        <v>254</v>
      </c>
      <c r="AY103" s="220" t="s">
        <v>558</v>
      </c>
    </row>
    <row r="104" spans="2:65" s="188" customFormat="1" ht="22.9" customHeight="1" x14ac:dyDescent="0.2">
      <c r="B104" s="189"/>
      <c r="D104" s="190" t="s">
        <v>523</v>
      </c>
      <c r="E104" s="199" t="s">
        <v>983</v>
      </c>
      <c r="F104" s="199" t="s">
        <v>199</v>
      </c>
      <c r="I104" s="192"/>
      <c r="J104" s="200">
        <f>BK104</f>
        <v>0</v>
      </c>
      <c r="L104" s="189"/>
      <c r="M104" s="194"/>
      <c r="P104" s="195">
        <f>SUM(P105:P111)</f>
        <v>0</v>
      </c>
      <c r="R104" s="195">
        <f>SUM(R105:R111)</f>
        <v>0</v>
      </c>
      <c r="T104" s="196">
        <f>SUM(T105:T111)</f>
        <v>0</v>
      </c>
      <c r="AR104" s="190" t="s">
        <v>264</v>
      </c>
      <c r="AT104" s="197" t="s">
        <v>523</v>
      </c>
      <c r="AU104" s="197" t="s">
        <v>254</v>
      </c>
      <c r="AY104" s="190" t="s">
        <v>558</v>
      </c>
      <c r="BK104" s="198">
        <f>SUM(BK105:BK111)</f>
        <v>0</v>
      </c>
    </row>
    <row r="105" spans="2:65" s="136" customFormat="1" ht="16.5" customHeight="1" x14ac:dyDescent="0.25">
      <c r="B105" s="137"/>
      <c r="C105" s="201" t="s">
        <v>265</v>
      </c>
      <c r="D105" s="201" t="s">
        <v>560</v>
      </c>
      <c r="E105" s="202" t="s">
        <v>984</v>
      </c>
      <c r="F105" s="203" t="s">
        <v>985</v>
      </c>
      <c r="G105" s="204" t="s">
        <v>159</v>
      </c>
      <c r="H105" s="205">
        <v>1</v>
      </c>
      <c r="I105" s="206"/>
      <c r="J105" s="207">
        <f>ROUND(I105*H105,2)</f>
        <v>0</v>
      </c>
      <c r="K105" s="203" t="s">
        <v>180</v>
      </c>
      <c r="L105" s="137"/>
      <c r="M105" s="208" t="s">
        <v>180</v>
      </c>
      <c r="N105" s="209" t="s">
        <v>513</v>
      </c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212" t="s">
        <v>972</v>
      </c>
      <c r="AT105" s="212" t="s">
        <v>560</v>
      </c>
      <c r="AU105" s="212" t="s">
        <v>260</v>
      </c>
      <c r="AY105" s="127" t="s">
        <v>558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27" t="s">
        <v>254</v>
      </c>
      <c r="BK105" s="213">
        <f>ROUND(I105*H105,2)</f>
        <v>0</v>
      </c>
      <c r="BL105" s="127" t="s">
        <v>972</v>
      </c>
      <c r="BM105" s="212" t="s">
        <v>986</v>
      </c>
    </row>
    <row r="106" spans="2:65" s="136" customFormat="1" x14ac:dyDescent="0.25">
      <c r="B106" s="137"/>
      <c r="D106" s="219" t="s">
        <v>1196</v>
      </c>
      <c r="F106" s="351" t="s">
        <v>985</v>
      </c>
      <c r="I106" s="215"/>
      <c r="L106" s="137"/>
      <c r="M106" s="216"/>
      <c r="T106" s="146"/>
      <c r="AT106" s="127" t="s">
        <v>1196</v>
      </c>
      <c r="AU106" s="127" t="s">
        <v>260</v>
      </c>
    </row>
    <row r="107" spans="2:65" s="136" customFormat="1" ht="16.5" customHeight="1" x14ac:dyDescent="0.25">
      <c r="B107" s="137"/>
      <c r="C107" s="201" t="s">
        <v>266</v>
      </c>
      <c r="D107" s="201" t="s">
        <v>560</v>
      </c>
      <c r="E107" s="202" t="s">
        <v>987</v>
      </c>
      <c r="F107" s="203" t="s">
        <v>988</v>
      </c>
      <c r="G107" s="204" t="s">
        <v>159</v>
      </c>
      <c r="H107" s="205">
        <v>1</v>
      </c>
      <c r="I107" s="206"/>
      <c r="J107" s="207">
        <f>ROUND(I107*H107,2)</f>
        <v>0</v>
      </c>
      <c r="K107" s="203" t="s">
        <v>180</v>
      </c>
      <c r="L107" s="137"/>
      <c r="M107" s="208" t="s">
        <v>180</v>
      </c>
      <c r="N107" s="209" t="s">
        <v>513</v>
      </c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12" t="s">
        <v>972</v>
      </c>
      <c r="AT107" s="212" t="s">
        <v>560</v>
      </c>
      <c r="AU107" s="212" t="s">
        <v>260</v>
      </c>
      <c r="AY107" s="127" t="s">
        <v>558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27" t="s">
        <v>254</v>
      </c>
      <c r="BK107" s="213">
        <f>ROUND(I107*H107,2)</f>
        <v>0</v>
      </c>
      <c r="BL107" s="127" t="s">
        <v>972</v>
      </c>
      <c r="BM107" s="212" t="s">
        <v>989</v>
      </c>
    </row>
    <row r="108" spans="2:65" s="136" customFormat="1" x14ac:dyDescent="0.25">
      <c r="B108" s="137"/>
      <c r="D108" s="219" t="s">
        <v>1196</v>
      </c>
      <c r="F108" s="351" t="s">
        <v>988</v>
      </c>
      <c r="I108" s="215"/>
      <c r="L108" s="137"/>
      <c r="M108" s="216"/>
      <c r="T108" s="146"/>
      <c r="AT108" s="127" t="s">
        <v>1196</v>
      </c>
      <c r="AU108" s="127" t="s">
        <v>260</v>
      </c>
    </row>
    <row r="109" spans="2:65" s="217" customFormat="1" x14ac:dyDescent="0.25">
      <c r="B109" s="218"/>
      <c r="D109" s="219" t="s">
        <v>567</v>
      </c>
      <c r="E109" s="220" t="s">
        <v>180</v>
      </c>
      <c r="F109" s="221" t="s">
        <v>990</v>
      </c>
      <c r="H109" s="222">
        <v>1</v>
      </c>
      <c r="I109" s="223"/>
      <c r="L109" s="218"/>
      <c r="M109" s="224"/>
      <c r="T109" s="225"/>
      <c r="AT109" s="220" t="s">
        <v>567</v>
      </c>
      <c r="AU109" s="220" t="s">
        <v>260</v>
      </c>
      <c r="AV109" s="217" t="s">
        <v>260</v>
      </c>
      <c r="AW109" s="217" t="s">
        <v>506</v>
      </c>
      <c r="AX109" s="217" t="s">
        <v>254</v>
      </c>
      <c r="AY109" s="220" t="s">
        <v>558</v>
      </c>
    </row>
    <row r="110" spans="2:65" s="136" customFormat="1" ht="16.5" customHeight="1" x14ac:dyDescent="0.25">
      <c r="B110" s="137"/>
      <c r="C110" s="201" t="s">
        <v>267</v>
      </c>
      <c r="D110" s="201" t="s">
        <v>560</v>
      </c>
      <c r="E110" s="202" t="s">
        <v>991</v>
      </c>
      <c r="F110" s="203" t="s">
        <v>992</v>
      </c>
      <c r="G110" s="204" t="s">
        <v>159</v>
      </c>
      <c r="H110" s="205">
        <v>1</v>
      </c>
      <c r="I110" s="206"/>
      <c r="J110" s="207">
        <f>ROUND(I110*H110,2)</f>
        <v>0</v>
      </c>
      <c r="K110" s="203" t="s">
        <v>180</v>
      </c>
      <c r="L110" s="137"/>
      <c r="M110" s="208" t="s">
        <v>180</v>
      </c>
      <c r="N110" s="209" t="s">
        <v>513</v>
      </c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12" t="s">
        <v>972</v>
      </c>
      <c r="AT110" s="212" t="s">
        <v>560</v>
      </c>
      <c r="AU110" s="212" t="s">
        <v>260</v>
      </c>
      <c r="AY110" s="127" t="s">
        <v>558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27" t="s">
        <v>254</v>
      </c>
      <c r="BK110" s="213">
        <f>ROUND(I110*H110,2)</f>
        <v>0</v>
      </c>
      <c r="BL110" s="127" t="s">
        <v>972</v>
      </c>
      <c r="BM110" s="212" t="s">
        <v>993</v>
      </c>
    </row>
    <row r="111" spans="2:65" s="136" customFormat="1" x14ac:dyDescent="0.25">
      <c r="B111" s="137"/>
      <c r="D111" s="219" t="s">
        <v>1196</v>
      </c>
      <c r="F111" s="351" t="s">
        <v>992</v>
      </c>
      <c r="I111" s="215"/>
      <c r="L111" s="137"/>
      <c r="M111" s="216"/>
      <c r="T111" s="146"/>
      <c r="AT111" s="127" t="s">
        <v>1196</v>
      </c>
      <c r="AU111" s="127" t="s">
        <v>260</v>
      </c>
    </row>
    <row r="112" spans="2:65" s="188" customFormat="1" ht="22.9" customHeight="1" x14ac:dyDescent="0.2">
      <c r="B112" s="189"/>
      <c r="D112" s="190" t="s">
        <v>523</v>
      </c>
      <c r="E112" s="199" t="s">
        <v>994</v>
      </c>
      <c r="F112" s="199" t="s">
        <v>995</v>
      </c>
      <c r="I112" s="192"/>
      <c r="J112" s="200">
        <f>BK112</f>
        <v>0</v>
      </c>
      <c r="L112" s="189"/>
      <c r="M112" s="194"/>
      <c r="P112" s="195">
        <f>SUM(P113:P116)</f>
        <v>0</v>
      </c>
      <c r="R112" s="195">
        <f>SUM(R113:R116)</f>
        <v>0</v>
      </c>
      <c r="T112" s="196">
        <f>SUM(T113:T116)</f>
        <v>0</v>
      </c>
      <c r="AR112" s="190" t="s">
        <v>264</v>
      </c>
      <c r="AT112" s="197" t="s">
        <v>523</v>
      </c>
      <c r="AU112" s="197" t="s">
        <v>254</v>
      </c>
      <c r="AY112" s="190" t="s">
        <v>558</v>
      </c>
      <c r="BK112" s="198">
        <f>SUM(BK113:BK116)</f>
        <v>0</v>
      </c>
    </row>
    <row r="113" spans="2:65" s="136" customFormat="1" ht="16.5" customHeight="1" x14ac:dyDescent="0.25">
      <c r="B113" s="137"/>
      <c r="C113" s="201" t="s">
        <v>268</v>
      </c>
      <c r="D113" s="201" t="s">
        <v>560</v>
      </c>
      <c r="E113" s="202" t="s">
        <v>996</v>
      </c>
      <c r="F113" s="203" t="s">
        <v>997</v>
      </c>
      <c r="G113" s="204" t="s">
        <v>159</v>
      </c>
      <c r="H113" s="205">
        <v>1</v>
      </c>
      <c r="I113" s="206"/>
      <c r="J113" s="207">
        <f>ROUND(I113*H113,2)</f>
        <v>0</v>
      </c>
      <c r="K113" s="203" t="s">
        <v>180</v>
      </c>
      <c r="L113" s="137"/>
      <c r="M113" s="208" t="s">
        <v>180</v>
      </c>
      <c r="N113" s="209" t="s">
        <v>513</v>
      </c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12" t="s">
        <v>972</v>
      </c>
      <c r="AT113" s="212" t="s">
        <v>560</v>
      </c>
      <c r="AU113" s="212" t="s">
        <v>260</v>
      </c>
      <c r="AY113" s="127" t="s">
        <v>558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27" t="s">
        <v>254</v>
      </c>
      <c r="BK113" s="213">
        <f>ROUND(I113*H113,2)</f>
        <v>0</v>
      </c>
      <c r="BL113" s="127" t="s">
        <v>972</v>
      </c>
      <c r="BM113" s="212" t="s">
        <v>998</v>
      </c>
    </row>
    <row r="114" spans="2:65" s="136" customFormat="1" x14ac:dyDescent="0.25">
      <c r="B114" s="137"/>
      <c r="D114" s="219" t="s">
        <v>1196</v>
      </c>
      <c r="F114" s="351" t="s">
        <v>997</v>
      </c>
      <c r="I114" s="215"/>
      <c r="L114" s="137"/>
      <c r="M114" s="216"/>
      <c r="T114" s="146"/>
      <c r="AT114" s="127" t="s">
        <v>1196</v>
      </c>
      <c r="AU114" s="127" t="s">
        <v>260</v>
      </c>
    </row>
    <row r="115" spans="2:65" s="136" customFormat="1" ht="16.5" customHeight="1" x14ac:dyDescent="0.25">
      <c r="B115" s="137"/>
      <c r="C115" s="201" t="s">
        <v>271</v>
      </c>
      <c r="D115" s="201" t="s">
        <v>560</v>
      </c>
      <c r="E115" s="202" t="s">
        <v>999</v>
      </c>
      <c r="F115" s="203" t="s">
        <v>1000</v>
      </c>
      <c r="G115" s="204" t="s">
        <v>159</v>
      </c>
      <c r="H115" s="205">
        <v>1</v>
      </c>
      <c r="I115" s="206"/>
      <c r="J115" s="207">
        <f>ROUND(I115*H115,2)</f>
        <v>0</v>
      </c>
      <c r="K115" s="203" t="s">
        <v>180</v>
      </c>
      <c r="L115" s="137"/>
      <c r="M115" s="208" t="s">
        <v>180</v>
      </c>
      <c r="N115" s="209" t="s">
        <v>513</v>
      </c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212" t="s">
        <v>972</v>
      </c>
      <c r="AT115" s="212" t="s">
        <v>560</v>
      </c>
      <c r="AU115" s="212" t="s">
        <v>260</v>
      </c>
      <c r="AY115" s="127" t="s">
        <v>558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27" t="s">
        <v>254</v>
      </c>
      <c r="BK115" s="213">
        <f>ROUND(I115*H115,2)</f>
        <v>0</v>
      </c>
      <c r="BL115" s="127" t="s">
        <v>972</v>
      </c>
      <c r="BM115" s="212" t="s">
        <v>1001</v>
      </c>
    </row>
    <row r="116" spans="2:65" s="136" customFormat="1" x14ac:dyDescent="0.25">
      <c r="B116" s="137"/>
      <c r="D116" s="219" t="s">
        <v>1196</v>
      </c>
      <c r="F116" s="351" t="s">
        <v>1000</v>
      </c>
      <c r="I116" s="215"/>
      <c r="L116" s="137"/>
      <c r="M116" s="216"/>
      <c r="T116" s="146"/>
      <c r="AT116" s="127" t="s">
        <v>1196</v>
      </c>
      <c r="AU116" s="127" t="s">
        <v>260</v>
      </c>
    </row>
    <row r="117" spans="2:65" s="188" customFormat="1" ht="22.9" customHeight="1" x14ac:dyDescent="0.2">
      <c r="B117" s="189"/>
      <c r="D117" s="190" t="s">
        <v>523</v>
      </c>
      <c r="E117" s="199" t="s">
        <v>1251</v>
      </c>
      <c r="F117" s="199" t="s">
        <v>1252</v>
      </c>
      <c r="I117" s="192"/>
      <c r="J117" s="200">
        <f>BK117</f>
        <v>0</v>
      </c>
      <c r="L117" s="189"/>
      <c r="M117" s="194"/>
      <c r="P117" s="195">
        <f>SUM(P118:P119)</f>
        <v>0</v>
      </c>
      <c r="R117" s="195">
        <f>SUM(R118:R119)</f>
        <v>0</v>
      </c>
      <c r="T117" s="196">
        <f>SUM(T118:T119)</f>
        <v>0</v>
      </c>
      <c r="AR117" s="190" t="s">
        <v>264</v>
      </c>
      <c r="AT117" s="197" t="s">
        <v>523</v>
      </c>
      <c r="AU117" s="197" t="s">
        <v>254</v>
      </c>
      <c r="AY117" s="190" t="s">
        <v>558</v>
      </c>
      <c r="BK117" s="198">
        <f>SUM(BK118:BK119)</f>
        <v>0</v>
      </c>
    </row>
    <row r="118" spans="2:65" s="136" customFormat="1" ht="16.5" customHeight="1" x14ac:dyDescent="0.25">
      <c r="B118" s="137"/>
      <c r="C118" s="201" t="s">
        <v>251</v>
      </c>
      <c r="D118" s="201" t="s">
        <v>560</v>
      </c>
      <c r="E118" s="202" t="s">
        <v>1253</v>
      </c>
      <c r="F118" s="203" t="s">
        <v>1252</v>
      </c>
      <c r="G118" s="204" t="s">
        <v>159</v>
      </c>
      <c r="H118" s="205">
        <v>1</v>
      </c>
      <c r="I118" s="206"/>
      <c r="J118" s="207">
        <f>ROUND(I118*H118,2)</f>
        <v>0</v>
      </c>
      <c r="K118" s="203" t="s">
        <v>180</v>
      </c>
      <c r="L118" s="137"/>
      <c r="M118" s="208" t="s">
        <v>180</v>
      </c>
      <c r="N118" s="209" t="s">
        <v>513</v>
      </c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212" t="s">
        <v>972</v>
      </c>
      <c r="AT118" s="212" t="s">
        <v>560</v>
      </c>
      <c r="AU118" s="212" t="s">
        <v>260</v>
      </c>
      <c r="AY118" s="127" t="s">
        <v>558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27" t="s">
        <v>254</v>
      </c>
      <c r="BK118" s="213">
        <f>ROUND(I118*H118,2)</f>
        <v>0</v>
      </c>
      <c r="BL118" s="127" t="s">
        <v>972</v>
      </c>
      <c r="BM118" s="212" t="s">
        <v>1254</v>
      </c>
    </row>
    <row r="119" spans="2:65" s="136" customFormat="1" x14ac:dyDescent="0.25">
      <c r="B119" s="137"/>
      <c r="D119" s="219" t="s">
        <v>1196</v>
      </c>
      <c r="F119" s="351" t="s">
        <v>1252</v>
      </c>
      <c r="I119" s="215"/>
      <c r="L119" s="137"/>
      <c r="M119" s="259"/>
      <c r="N119" s="260"/>
      <c r="O119" s="260"/>
      <c r="P119" s="260"/>
      <c r="Q119" s="260"/>
      <c r="R119" s="260"/>
      <c r="S119" s="260"/>
      <c r="T119" s="261"/>
      <c r="AT119" s="127" t="s">
        <v>1196</v>
      </c>
      <c r="AU119" s="127" t="s">
        <v>260</v>
      </c>
    </row>
    <row r="120" spans="2:65" s="136" customFormat="1" ht="6.95" customHeight="1" x14ac:dyDescent="0.25">
      <c r="B120" s="139"/>
      <c r="C120" s="140"/>
      <c r="D120" s="140"/>
      <c r="E120" s="140"/>
      <c r="F120" s="140"/>
      <c r="G120" s="140"/>
      <c r="H120" s="140"/>
      <c r="I120" s="140"/>
      <c r="J120" s="140"/>
      <c r="K120" s="140"/>
      <c r="L120" s="137"/>
    </row>
  </sheetData>
  <sheetProtection algorithmName="SHA-512" hashValue="2GwGwbJH0M4hFSJRTs9b+93yPvhabJXevCTHuRTPQLeahr+KVSzzwAQsiSMUOFWSPifwQIfzm7wh3Ib39mDkSQ==" saltValue="o4mGg6ToRiK0zRlMsyb7vS8wXrlB/tVqEM2p2O6RixUElmAIkOKsbGj1WiWmg15H+2FVPy+qUp2ehPP5SRo9HA==" spinCount="100000" sheet="1" objects="1" scenarios="1" formatColumns="0" formatRows="0" autoFilter="0"/>
  <autoFilter ref="C89:K119" xr:uid="{00000000-0009-0000-0000-000002000000}"/>
  <mergeCells count="12">
    <mergeCell ref="E82:H82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5C09-BA85-4F01-94A9-F631EB1C9494}">
  <sheetPr>
    <pageSetUpPr fitToPage="1"/>
  </sheetPr>
  <dimension ref="A1:K219"/>
  <sheetViews>
    <sheetView showGridLines="0" topLeftCell="A179" zoomScale="110" zoomScaleNormal="110" workbookViewId="0">
      <selection activeCell="H80" sqref="H80"/>
    </sheetView>
  </sheetViews>
  <sheetFormatPr defaultRowHeight="11.25" x14ac:dyDescent="0.2"/>
  <cols>
    <col min="1" max="1" width="7.140625" style="275" customWidth="1"/>
    <col min="2" max="2" width="1.42578125" style="275" customWidth="1"/>
    <col min="3" max="4" width="4.28515625" style="275" customWidth="1"/>
    <col min="5" max="5" width="10" style="275" customWidth="1"/>
    <col min="6" max="6" width="7.85546875" style="275" customWidth="1"/>
    <col min="7" max="7" width="4.28515625" style="275" customWidth="1"/>
    <col min="8" max="8" width="66.7109375" style="275" customWidth="1"/>
    <col min="9" max="10" width="17.140625" style="275" customWidth="1"/>
    <col min="11" max="11" width="1.42578125" style="275" customWidth="1"/>
    <col min="12" max="16384" width="9.140625" style="126"/>
  </cols>
  <sheetData>
    <row r="1" spans="2:11" s="126" customFormat="1" ht="37.5" customHeight="1" x14ac:dyDescent="0.2"/>
    <row r="2" spans="2:11" s="126" customFormat="1" ht="7.5" customHeight="1" x14ac:dyDescent="0.2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pans="2:11" s="262" customFormat="1" ht="45" customHeight="1" x14ac:dyDescent="0.25">
      <c r="B3" s="292"/>
      <c r="C3" s="371" t="s">
        <v>1002</v>
      </c>
      <c r="D3" s="371"/>
      <c r="E3" s="371"/>
      <c r="F3" s="371"/>
      <c r="G3" s="371"/>
      <c r="H3" s="371"/>
      <c r="I3" s="371"/>
      <c r="J3" s="371"/>
      <c r="K3" s="293"/>
    </row>
    <row r="4" spans="2:11" s="126" customFormat="1" ht="25.5" customHeight="1" x14ac:dyDescent="0.3">
      <c r="B4" s="294"/>
      <c r="C4" s="377" t="s">
        <v>1003</v>
      </c>
      <c r="D4" s="377"/>
      <c r="E4" s="377"/>
      <c r="F4" s="377"/>
      <c r="G4" s="377"/>
      <c r="H4" s="377"/>
      <c r="I4" s="377"/>
      <c r="J4" s="377"/>
      <c r="K4" s="295"/>
    </row>
    <row r="5" spans="2:11" s="126" customFormat="1" ht="5.25" customHeight="1" x14ac:dyDescent="0.2">
      <c r="B5" s="294"/>
      <c r="C5" s="296"/>
      <c r="D5" s="296"/>
      <c r="E5" s="296"/>
      <c r="F5" s="296"/>
      <c r="G5" s="296"/>
      <c r="H5" s="296"/>
      <c r="I5" s="296"/>
      <c r="J5" s="296"/>
      <c r="K5" s="295"/>
    </row>
    <row r="6" spans="2:11" s="126" customFormat="1" ht="15" customHeight="1" x14ac:dyDescent="0.2">
      <c r="B6" s="294"/>
      <c r="C6" s="376" t="s">
        <v>1004</v>
      </c>
      <c r="D6" s="376"/>
      <c r="E6" s="376"/>
      <c r="F6" s="376"/>
      <c r="G6" s="376"/>
      <c r="H6" s="376"/>
      <c r="I6" s="376"/>
      <c r="J6" s="376"/>
      <c r="K6" s="295"/>
    </row>
    <row r="7" spans="2:11" s="126" customFormat="1" ht="15" customHeight="1" x14ac:dyDescent="0.2">
      <c r="B7" s="297"/>
      <c r="C7" s="376" t="s">
        <v>1005</v>
      </c>
      <c r="D7" s="376"/>
      <c r="E7" s="376"/>
      <c r="F7" s="376"/>
      <c r="G7" s="376"/>
      <c r="H7" s="376"/>
      <c r="I7" s="376"/>
      <c r="J7" s="376"/>
      <c r="K7" s="295"/>
    </row>
    <row r="8" spans="2:11" s="126" customFormat="1" ht="12.75" customHeight="1" x14ac:dyDescent="0.2">
      <c r="B8" s="297"/>
      <c r="C8" s="263"/>
      <c r="D8" s="263"/>
      <c r="E8" s="263"/>
      <c r="F8" s="263"/>
      <c r="G8" s="263"/>
      <c r="H8" s="263"/>
      <c r="I8" s="263"/>
      <c r="J8" s="263"/>
      <c r="K8" s="295"/>
    </row>
    <row r="9" spans="2:11" s="126" customFormat="1" ht="15" customHeight="1" x14ac:dyDescent="0.2">
      <c r="B9" s="297"/>
      <c r="C9" s="376" t="s">
        <v>1006</v>
      </c>
      <c r="D9" s="376"/>
      <c r="E9" s="376"/>
      <c r="F9" s="376"/>
      <c r="G9" s="376"/>
      <c r="H9" s="376"/>
      <c r="I9" s="376"/>
      <c r="J9" s="376"/>
      <c r="K9" s="295"/>
    </row>
    <row r="10" spans="2:11" s="126" customFormat="1" ht="15" customHeight="1" x14ac:dyDescent="0.2">
      <c r="B10" s="297"/>
      <c r="C10" s="263"/>
      <c r="D10" s="376" t="s">
        <v>1007</v>
      </c>
      <c r="E10" s="376"/>
      <c r="F10" s="376"/>
      <c r="G10" s="376"/>
      <c r="H10" s="376"/>
      <c r="I10" s="376"/>
      <c r="J10" s="376"/>
      <c r="K10" s="295"/>
    </row>
    <row r="11" spans="2:11" s="126" customFormat="1" ht="15" customHeight="1" x14ac:dyDescent="0.2">
      <c r="B11" s="297"/>
      <c r="C11" s="264"/>
      <c r="D11" s="376" t="s">
        <v>1008</v>
      </c>
      <c r="E11" s="376"/>
      <c r="F11" s="376"/>
      <c r="G11" s="376"/>
      <c r="H11" s="376"/>
      <c r="I11" s="376"/>
      <c r="J11" s="376"/>
      <c r="K11" s="295"/>
    </row>
    <row r="12" spans="2:11" s="126" customFormat="1" ht="15" customHeight="1" x14ac:dyDescent="0.2">
      <c r="B12" s="297"/>
      <c r="C12" s="264"/>
      <c r="D12" s="263"/>
      <c r="E12" s="263"/>
      <c r="F12" s="263"/>
      <c r="G12" s="263"/>
      <c r="H12" s="263"/>
      <c r="I12" s="263"/>
      <c r="J12" s="263"/>
      <c r="K12" s="295"/>
    </row>
    <row r="13" spans="2:11" s="126" customFormat="1" ht="15" customHeight="1" x14ac:dyDescent="0.2">
      <c r="B13" s="297"/>
      <c r="C13" s="264"/>
      <c r="D13" s="265" t="s">
        <v>1009</v>
      </c>
      <c r="E13" s="263"/>
      <c r="F13" s="263"/>
      <c r="G13" s="263"/>
      <c r="H13" s="263"/>
      <c r="I13" s="263"/>
      <c r="J13" s="263"/>
      <c r="K13" s="295"/>
    </row>
    <row r="14" spans="2:11" s="126" customFormat="1" ht="12.75" customHeight="1" x14ac:dyDescent="0.2">
      <c r="B14" s="297"/>
      <c r="C14" s="264"/>
      <c r="D14" s="264"/>
      <c r="E14" s="264"/>
      <c r="F14" s="264"/>
      <c r="G14" s="264"/>
      <c r="H14" s="264"/>
      <c r="I14" s="264"/>
      <c r="J14" s="264"/>
      <c r="K14" s="295"/>
    </row>
    <row r="15" spans="2:11" s="126" customFormat="1" ht="15" customHeight="1" x14ac:dyDescent="0.2">
      <c r="B15" s="297"/>
      <c r="C15" s="264"/>
      <c r="D15" s="376" t="s">
        <v>1010</v>
      </c>
      <c r="E15" s="376"/>
      <c r="F15" s="376"/>
      <c r="G15" s="376"/>
      <c r="H15" s="376"/>
      <c r="I15" s="376"/>
      <c r="J15" s="376"/>
      <c r="K15" s="295"/>
    </row>
    <row r="16" spans="2:11" s="126" customFormat="1" ht="15" customHeight="1" x14ac:dyDescent="0.2">
      <c r="B16" s="297"/>
      <c r="C16" s="264"/>
      <c r="D16" s="376" t="s">
        <v>1011</v>
      </c>
      <c r="E16" s="376"/>
      <c r="F16" s="376"/>
      <c r="G16" s="376"/>
      <c r="H16" s="376"/>
      <c r="I16" s="376"/>
      <c r="J16" s="376"/>
      <c r="K16" s="295"/>
    </row>
    <row r="17" spans="2:11" s="126" customFormat="1" ht="15" customHeight="1" x14ac:dyDescent="0.2">
      <c r="B17" s="297"/>
      <c r="C17" s="264"/>
      <c r="D17" s="376" t="s">
        <v>1012</v>
      </c>
      <c r="E17" s="376"/>
      <c r="F17" s="376"/>
      <c r="G17" s="376"/>
      <c r="H17" s="376"/>
      <c r="I17" s="376"/>
      <c r="J17" s="376"/>
      <c r="K17" s="295"/>
    </row>
    <row r="18" spans="2:11" s="126" customFormat="1" ht="15" customHeight="1" x14ac:dyDescent="0.2">
      <c r="B18" s="297"/>
      <c r="C18" s="264"/>
      <c r="D18" s="264"/>
      <c r="E18" s="266" t="s">
        <v>524</v>
      </c>
      <c r="F18" s="376" t="s">
        <v>1013</v>
      </c>
      <c r="G18" s="376"/>
      <c r="H18" s="376"/>
      <c r="I18" s="376"/>
      <c r="J18" s="376"/>
      <c r="K18" s="295"/>
    </row>
    <row r="19" spans="2:11" s="126" customFormat="1" ht="15" customHeight="1" x14ac:dyDescent="0.2">
      <c r="B19" s="297"/>
      <c r="C19" s="264"/>
      <c r="D19" s="264"/>
      <c r="E19" s="266" t="s">
        <v>1014</v>
      </c>
      <c r="F19" s="376" t="s">
        <v>1015</v>
      </c>
      <c r="G19" s="376"/>
      <c r="H19" s="376"/>
      <c r="I19" s="376"/>
      <c r="J19" s="376"/>
      <c r="K19" s="295"/>
    </row>
    <row r="20" spans="2:11" s="126" customFormat="1" ht="15" customHeight="1" x14ac:dyDescent="0.2">
      <c r="B20" s="297"/>
      <c r="C20" s="264"/>
      <c r="D20" s="264"/>
      <c r="E20" s="266" t="s">
        <v>1016</v>
      </c>
      <c r="F20" s="376" t="s">
        <v>1017</v>
      </c>
      <c r="G20" s="376"/>
      <c r="H20" s="376"/>
      <c r="I20" s="376"/>
      <c r="J20" s="376"/>
      <c r="K20" s="295"/>
    </row>
    <row r="21" spans="2:11" s="126" customFormat="1" ht="15" customHeight="1" x14ac:dyDescent="0.2">
      <c r="B21" s="297"/>
      <c r="C21" s="264"/>
      <c r="D21" s="264"/>
      <c r="E21" s="266" t="s">
        <v>1018</v>
      </c>
      <c r="F21" s="376" t="s">
        <v>1019</v>
      </c>
      <c r="G21" s="376"/>
      <c r="H21" s="376"/>
      <c r="I21" s="376"/>
      <c r="J21" s="376"/>
      <c r="K21" s="295"/>
    </row>
    <row r="22" spans="2:11" s="126" customFormat="1" ht="15" customHeight="1" x14ac:dyDescent="0.2">
      <c r="B22" s="297"/>
      <c r="C22" s="264"/>
      <c r="D22" s="264"/>
      <c r="E22" s="266" t="s">
        <v>1020</v>
      </c>
      <c r="F22" s="376" t="s">
        <v>166</v>
      </c>
      <c r="G22" s="376"/>
      <c r="H22" s="376"/>
      <c r="I22" s="376"/>
      <c r="J22" s="376"/>
      <c r="K22" s="295"/>
    </row>
    <row r="23" spans="2:11" s="126" customFormat="1" ht="15" customHeight="1" x14ac:dyDescent="0.2">
      <c r="B23" s="297"/>
      <c r="C23" s="264"/>
      <c r="D23" s="264"/>
      <c r="E23" s="266" t="s">
        <v>525</v>
      </c>
      <c r="F23" s="376" t="s">
        <v>1021</v>
      </c>
      <c r="G23" s="376"/>
      <c r="H23" s="376"/>
      <c r="I23" s="376"/>
      <c r="J23" s="376"/>
      <c r="K23" s="295"/>
    </row>
    <row r="24" spans="2:11" s="126" customFormat="1" ht="12.75" customHeight="1" x14ac:dyDescent="0.2">
      <c r="B24" s="297"/>
      <c r="C24" s="264"/>
      <c r="D24" s="264"/>
      <c r="E24" s="264"/>
      <c r="F24" s="264"/>
      <c r="G24" s="264"/>
      <c r="H24" s="264"/>
      <c r="I24" s="264"/>
      <c r="J24" s="264"/>
      <c r="K24" s="295"/>
    </row>
    <row r="25" spans="2:11" s="126" customFormat="1" ht="15" customHeight="1" x14ac:dyDescent="0.2">
      <c r="B25" s="297"/>
      <c r="C25" s="376" t="s">
        <v>1022</v>
      </c>
      <c r="D25" s="376"/>
      <c r="E25" s="376"/>
      <c r="F25" s="376"/>
      <c r="G25" s="376"/>
      <c r="H25" s="376"/>
      <c r="I25" s="376"/>
      <c r="J25" s="376"/>
      <c r="K25" s="295"/>
    </row>
    <row r="26" spans="2:11" s="126" customFormat="1" ht="15" customHeight="1" x14ac:dyDescent="0.2">
      <c r="B26" s="297"/>
      <c r="C26" s="376" t="s">
        <v>1023</v>
      </c>
      <c r="D26" s="376"/>
      <c r="E26" s="376"/>
      <c r="F26" s="376"/>
      <c r="G26" s="376"/>
      <c r="H26" s="376"/>
      <c r="I26" s="376"/>
      <c r="J26" s="376"/>
      <c r="K26" s="295"/>
    </row>
    <row r="27" spans="2:11" s="126" customFormat="1" ht="15" customHeight="1" x14ac:dyDescent="0.2">
      <c r="B27" s="297"/>
      <c r="C27" s="263"/>
      <c r="D27" s="376" t="s">
        <v>1024</v>
      </c>
      <c r="E27" s="376"/>
      <c r="F27" s="376"/>
      <c r="G27" s="376"/>
      <c r="H27" s="376"/>
      <c r="I27" s="376"/>
      <c r="J27" s="376"/>
      <c r="K27" s="295"/>
    </row>
    <row r="28" spans="2:11" s="126" customFormat="1" ht="15" customHeight="1" x14ac:dyDescent="0.2">
      <c r="B28" s="297"/>
      <c r="C28" s="264"/>
      <c r="D28" s="376" t="s">
        <v>1025</v>
      </c>
      <c r="E28" s="376"/>
      <c r="F28" s="376"/>
      <c r="G28" s="376"/>
      <c r="H28" s="376"/>
      <c r="I28" s="376"/>
      <c r="J28" s="376"/>
      <c r="K28" s="295"/>
    </row>
    <row r="29" spans="2:11" s="126" customFormat="1" ht="12.75" customHeight="1" x14ac:dyDescent="0.2">
      <c r="B29" s="297"/>
      <c r="C29" s="264"/>
      <c r="D29" s="264"/>
      <c r="E29" s="264"/>
      <c r="F29" s="264"/>
      <c r="G29" s="264"/>
      <c r="H29" s="264"/>
      <c r="I29" s="264"/>
      <c r="J29" s="264"/>
      <c r="K29" s="295"/>
    </row>
    <row r="30" spans="2:11" s="126" customFormat="1" ht="15" customHeight="1" x14ac:dyDescent="0.2">
      <c r="B30" s="297"/>
      <c r="C30" s="264"/>
      <c r="D30" s="376" t="s">
        <v>1026</v>
      </c>
      <c r="E30" s="376"/>
      <c r="F30" s="376"/>
      <c r="G30" s="376"/>
      <c r="H30" s="376"/>
      <c r="I30" s="376"/>
      <c r="J30" s="376"/>
      <c r="K30" s="295"/>
    </row>
    <row r="31" spans="2:11" s="126" customFormat="1" ht="15" customHeight="1" x14ac:dyDescent="0.2">
      <c r="B31" s="297"/>
      <c r="C31" s="264"/>
      <c r="D31" s="376" t="s">
        <v>1027</v>
      </c>
      <c r="E31" s="376"/>
      <c r="F31" s="376"/>
      <c r="G31" s="376"/>
      <c r="H31" s="376"/>
      <c r="I31" s="376"/>
      <c r="J31" s="376"/>
      <c r="K31" s="295"/>
    </row>
    <row r="32" spans="2:11" s="126" customFormat="1" ht="12.75" customHeight="1" x14ac:dyDescent="0.2">
      <c r="B32" s="297"/>
      <c r="C32" s="264"/>
      <c r="D32" s="264"/>
      <c r="E32" s="264"/>
      <c r="F32" s="264"/>
      <c r="G32" s="264"/>
      <c r="H32" s="264"/>
      <c r="I32" s="264"/>
      <c r="J32" s="264"/>
      <c r="K32" s="295"/>
    </row>
    <row r="33" spans="2:11" s="126" customFormat="1" ht="15" customHeight="1" x14ac:dyDescent="0.2">
      <c r="B33" s="297"/>
      <c r="C33" s="264"/>
      <c r="D33" s="376" t="s">
        <v>1028</v>
      </c>
      <c r="E33" s="376"/>
      <c r="F33" s="376"/>
      <c r="G33" s="376"/>
      <c r="H33" s="376"/>
      <c r="I33" s="376"/>
      <c r="J33" s="376"/>
      <c r="K33" s="295"/>
    </row>
    <row r="34" spans="2:11" s="126" customFormat="1" ht="15" customHeight="1" x14ac:dyDescent="0.2">
      <c r="B34" s="297"/>
      <c r="C34" s="264"/>
      <c r="D34" s="376" t="s">
        <v>1029</v>
      </c>
      <c r="E34" s="376"/>
      <c r="F34" s="376"/>
      <c r="G34" s="376"/>
      <c r="H34" s="376"/>
      <c r="I34" s="376"/>
      <c r="J34" s="376"/>
      <c r="K34" s="295"/>
    </row>
    <row r="35" spans="2:11" s="126" customFormat="1" ht="15" customHeight="1" x14ac:dyDescent="0.2">
      <c r="B35" s="297"/>
      <c r="C35" s="264"/>
      <c r="D35" s="376" t="s">
        <v>1030</v>
      </c>
      <c r="E35" s="376"/>
      <c r="F35" s="376"/>
      <c r="G35" s="376"/>
      <c r="H35" s="376"/>
      <c r="I35" s="376"/>
      <c r="J35" s="376"/>
      <c r="K35" s="295"/>
    </row>
    <row r="36" spans="2:11" s="126" customFormat="1" ht="15" customHeight="1" x14ac:dyDescent="0.2">
      <c r="B36" s="297"/>
      <c r="C36" s="264"/>
      <c r="D36" s="263"/>
      <c r="E36" s="265" t="s">
        <v>547</v>
      </c>
      <c r="F36" s="263"/>
      <c r="G36" s="376" t="s">
        <v>1031</v>
      </c>
      <c r="H36" s="376"/>
      <c r="I36" s="376"/>
      <c r="J36" s="376"/>
      <c r="K36" s="295"/>
    </row>
    <row r="37" spans="2:11" s="126" customFormat="1" ht="30.75" customHeight="1" x14ac:dyDescent="0.2">
      <c r="B37" s="297"/>
      <c r="C37" s="264"/>
      <c r="D37" s="263"/>
      <c r="E37" s="265" t="s">
        <v>1032</v>
      </c>
      <c r="F37" s="263"/>
      <c r="G37" s="376" t="s">
        <v>1191</v>
      </c>
      <c r="H37" s="376"/>
      <c r="I37" s="376"/>
      <c r="J37" s="376"/>
      <c r="K37" s="295"/>
    </row>
    <row r="38" spans="2:11" s="126" customFormat="1" ht="15" customHeight="1" x14ac:dyDescent="0.2">
      <c r="B38" s="297"/>
      <c r="C38" s="264"/>
      <c r="D38" s="263"/>
      <c r="E38" s="265" t="s">
        <v>23</v>
      </c>
      <c r="F38" s="263"/>
      <c r="G38" s="376" t="s">
        <v>1033</v>
      </c>
      <c r="H38" s="376"/>
      <c r="I38" s="376"/>
      <c r="J38" s="376"/>
      <c r="K38" s="295"/>
    </row>
    <row r="39" spans="2:11" s="126" customFormat="1" ht="15" customHeight="1" x14ac:dyDescent="0.2">
      <c r="B39" s="297"/>
      <c r="C39" s="264"/>
      <c r="D39" s="263"/>
      <c r="E39" s="265" t="s">
        <v>24</v>
      </c>
      <c r="F39" s="263"/>
      <c r="G39" s="376" t="s">
        <v>1034</v>
      </c>
      <c r="H39" s="376"/>
      <c r="I39" s="376"/>
      <c r="J39" s="376"/>
      <c r="K39" s="295"/>
    </row>
    <row r="40" spans="2:11" s="126" customFormat="1" ht="15" customHeight="1" x14ac:dyDescent="0.2">
      <c r="B40" s="297"/>
      <c r="C40" s="264"/>
      <c r="D40" s="263"/>
      <c r="E40" s="265" t="s">
        <v>25</v>
      </c>
      <c r="F40" s="263"/>
      <c r="G40" s="376" t="s">
        <v>1035</v>
      </c>
      <c r="H40" s="376"/>
      <c r="I40" s="376"/>
      <c r="J40" s="376"/>
      <c r="K40" s="295"/>
    </row>
    <row r="41" spans="2:11" s="126" customFormat="1" ht="15" customHeight="1" x14ac:dyDescent="0.2">
      <c r="B41" s="297"/>
      <c r="C41" s="264"/>
      <c r="D41" s="263"/>
      <c r="E41" s="265" t="s">
        <v>227</v>
      </c>
      <c r="F41" s="263"/>
      <c r="G41" s="376" t="s">
        <v>1036</v>
      </c>
      <c r="H41" s="376"/>
      <c r="I41" s="376"/>
      <c r="J41" s="376"/>
      <c r="K41" s="295"/>
    </row>
    <row r="42" spans="2:11" s="126" customFormat="1" ht="15" customHeight="1" x14ac:dyDescent="0.2">
      <c r="B42" s="297"/>
      <c r="C42" s="264"/>
      <c r="D42" s="263"/>
      <c r="E42" s="265" t="s">
        <v>1037</v>
      </c>
      <c r="F42" s="263"/>
      <c r="G42" s="376" t="s">
        <v>1038</v>
      </c>
      <c r="H42" s="376"/>
      <c r="I42" s="376"/>
      <c r="J42" s="376"/>
      <c r="K42" s="295"/>
    </row>
    <row r="43" spans="2:11" s="126" customFormat="1" ht="15" customHeight="1" x14ac:dyDescent="0.2">
      <c r="B43" s="297"/>
      <c r="C43" s="264"/>
      <c r="D43" s="263"/>
      <c r="E43" s="265"/>
      <c r="F43" s="263"/>
      <c r="G43" s="376" t="s">
        <v>1039</v>
      </c>
      <c r="H43" s="376"/>
      <c r="I43" s="376"/>
      <c r="J43" s="376"/>
      <c r="K43" s="295"/>
    </row>
    <row r="44" spans="2:11" s="126" customFormat="1" ht="15" customHeight="1" x14ac:dyDescent="0.2">
      <c r="B44" s="297"/>
      <c r="C44" s="264"/>
      <c r="D44" s="263"/>
      <c r="E44" s="265" t="s">
        <v>1040</v>
      </c>
      <c r="F44" s="263"/>
      <c r="G44" s="376" t="s">
        <v>1041</v>
      </c>
      <c r="H44" s="376"/>
      <c r="I44" s="376"/>
      <c r="J44" s="376"/>
      <c r="K44" s="295"/>
    </row>
    <row r="45" spans="2:11" s="126" customFormat="1" ht="15" customHeight="1" x14ac:dyDescent="0.2">
      <c r="B45" s="297"/>
      <c r="C45" s="264"/>
      <c r="D45" s="263"/>
      <c r="E45" s="265" t="s">
        <v>549</v>
      </c>
      <c r="F45" s="263"/>
      <c r="G45" s="376" t="s">
        <v>1042</v>
      </c>
      <c r="H45" s="376"/>
      <c r="I45" s="376"/>
      <c r="J45" s="376"/>
      <c r="K45" s="295"/>
    </row>
    <row r="46" spans="2:11" s="126" customFormat="1" ht="12.75" customHeight="1" x14ac:dyDescent="0.2">
      <c r="B46" s="297"/>
      <c r="C46" s="264"/>
      <c r="D46" s="263"/>
      <c r="E46" s="263"/>
      <c r="F46" s="263"/>
      <c r="G46" s="263"/>
      <c r="H46" s="263"/>
      <c r="I46" s="263"/>
      <c r="J46" s="263"/>
      <c r="K46" s="295"/>
    </row>
    <row r="47" spans="2:11" s="126" customFormat="1" ht="15" customHeight="1" x14ac:dyDescent="0.2">
      <c r="B47" s="297"/>
      <c r="C47" s="264"/>
      <c r="D47" s="376" t="s">
        <v>1043</v>
      </c>
      <c r="E47" s="376"/>
      <c r="F47" s="376"/>
      <c r="G47" s="376"/>
      <c r="H47" s="376"/>
      <c r="I47" s="376"/>
      <c r="J47" s="376"/>
      <c r="K47" s="295"/>
    </row>
    <row r="48" spans="2:11" s="126" customFormat="1" ht="15" customHeight="1" x14ac:dyDescent="0.2">
      <c r="B48" s="297"/>
      <c r="C48" s="264"/>
      <c r="D48" s="264"/>
      <c r="E48" s="376" t="s">
        <v>1044</v>
      </c>
      <c r="F48" s="376"/>
      <c r="G48" s="376"/>
      <c r="H48" s="376"/>
      <c r="I48" s="376"/>
      <c r="J48" s="376"/>
      <c r="K48" s="295"/>
    </row>
    <row r="49" spans="2:11" s="126" customFormat="1" ht="15" customHeight="1" x14ac:dyDescent="0.2">
      <c r="B49" s="297"/>
      <c r="C49" s="264"/>
      <c r="D49" s="264"/>
      <c r="E49" s="376" t="s">
        <v>1045</v>
      </c>
      <c r="F49" s="376"/>
      <c r="G49" s="376"/>
      <c r="H49" s="376"/>
      <c r="I49" s="376"/>
      <c r="J49" s="376"/>
      <c r="K49" s="295"/>
    </row>
    <row r="50" spans="2:11" s="126" customFormat="1" ht="15" customHeight="1" x14ac:dyDescent="0.2">
      <c r="B50" s="297"/>
      <c r="C50" s="264"/>
      <c r="D50" s="264"/>
      <c r="E50" s="376" t="s">
        <v>1046</v>
      </c>
      <c r="F50" s="376"/>
      <c r="G50" s="376"/>
      <c r="H50" s="376"/>
      <c r="I50" s="376"/>
      <c r="J50" s="376"/>
      <c r="K50" s="295"/>
    </row>
    <row r="51" spans="2:11" s="126" customFormat="1" ht="15" customHeight="1" x14ac:dyDescent="0.2">
      <c r="B51" s="297"/>
      <c r="C51" s="264"/>
      <c r="D51" s="376" t="s">
        <v>1047</v>
      </c>
      <c r="E51" s="376"/>
      <c r="F51" s="376"/>
      <c r="G51" s="376"/>
      <c r="H51" s="376"/>
      <c r="I51" s="376"/>
      <c r="J51" s="376"/>
      <c r="K51" s="295"/>
    </row>
    <row r="52" spans="2:11" s="126" customFormat="1" ht="25.5" customHeight="1" x14ac:dyDescent="0.3">
      <c r="B52" s="294"/>
      <c r="C52" s="377" t="s">
        <v>1048</v>
      </c>
      <c r="D52" s="377"/>
      <c r="E52" s="377"/>
      <c r="F52" s="377"/>
      <c r="G52" s="377"/>
      <c r="H52" s="377"/>
      <c r="I52" s="377"/>
      <c r="J52" s="377"/>
      <c r="K52" s="295"/>
    </row>
    <row r="53" spans="2:11" s="126" customFormat="1" ht="5.25" customHeight="1" x14ac:dyDescent="0.2">
      <c r="B53" s="294"/>
      <c r="C53" s="296"/>
      <c r="D53" s="296"/>
      <c r="E53" s="296"/>
      <c r="F53" s="296"/>
      <c r="G53" s="296"/>
      <c r="H53" s="296"/>
      <c r="I53" s="296"/>
      <c r="J53" s="296"/>
      <c r="K53" s="295"/>
    </row>
    <row r="54" spans="2:11" s="126" customFormat="1" ht="15" customHeight="1" x14ac:dyDescent="0.2">
      <c r="B54" s="294"/>
      <c r="C54" s="376" t="s">
        <v>1049</v>
      </c>
      <c r="D54" s="376"/>
      <c r="E54" s="376"/>
      <c r="F54" s="376"/>
      <c r="G54" s="376"/>
      <c r="H54" s="376"/>
      <c r="I54" s="376"/>
      <c r="J54" s="376"/>
      <c r="K54" s="295"/>
    </row>
    <row r="55" spans="2:11" s="126" customFormat="1" ht="15" customHeight="1" x14ac:dyDescent="0.2">
      <c r="B55" s="294"/>
      <c r="C55" s="376" t="s">
        <v>1050</v>
      </c>
      <c r="D55" s="376"/>
      <c r="E55" s="376"/>
      <c r="F55" s="376"/>
      <c r="G55" s="376"/>
      <c r="H55" s="376"/>
      <c r="I55" s="376"/>
      <c r="J55" s="376"/>
      <c r="K55" s="295"/>
    </row>
    <row r="56" spans="2:11" s="126" customFormat="1" ht="12.75" customHeight="1" x14ac:dyDescent="0.2">
      <c r="B56" s="294"/>
      <c r="C56" s="263"/>
      <c r="D56" s="263"/>
      <c r="E56" s="263"/>
      <c r="F56" s="263"/>
      <c r="G56" s="263"/>
      <c r="H56" s="263"/>
      <c r="I56" s="263"/>
      <c r="J56" s="263"/>
      <c r="K56" s="295"/>
    </row>
    <row r="57" spans="2:11" s="126" customFormat="1" ht="15" customHeight="1" x14ac:dyDescent="0.2">
      <c r="B57" s="294"/>
      <c r="C57" s="376" t="s">
        <v>1051</v>
      </c>
      <c r="D57" s="376"/>
      <c r="E57" s="376"/>
      <c r="F57" s="376"/>
      <c r="G57" s="376"/>
      <c r="H57" s="376"/>
      <c r="I57" s="376"/>
      <c r="J57" s="376"/>
      <c r="K57" s="295"/>
    </row>
    <row r="58" spans="2:11" s="126" customFormat="1" ht="15" customHeight="1" x14ac:dyDescent="0.2">
      <c r="B58" s="294"/>
      <c r="C58" s="264"/>
      <c r="D58" s="376" t="s">
        <v>1052</v>
      </c>
      <c r="E58" s="376"/>
      <c r="F58" s="376"/>
      <c r="G58" s="376"/>
      <c r="H58" s="376"/>
      <c r="I58" s="376"/>
      <c r="J58" s="376"/>
      <c r="K58" s="295"/>
    </row>
    <row r="59" spans="2:11" s="126" customFormat="1" ht="15" customHeight="1" x14ac:dyDescent="0.2">
      <c r="B59" s="294"/>
      <c r="C59" s="264"/>
      <c r="D59" s="376" t="s">
        <v>1053</v>
      </c>
      <c r="E59" s="376"/>
      <c r="F59" s="376"/>
      <c r="G59" s="376"/>
      <c r="H59" s="376"/>
      <c r="I59" s="376"/>
      <c r="J59" s="376"/>
      <c r="K59" s="295"/>
    </row>
    <row r="60" spans="2:11" s="126" customFormat="1" ht="15" customHeight="1" x14ac:dyDescent="0.2">
      <c r="B60" s="294"/>
      <c r="C60" s="264"/>
      <c r="D60" s="376" t="s">
        <v>1054</v>
      </c>
      <c r="E60" s="376"/>
      <c r="F60" s="376"/>
      <c r="G60" s="376"/>
      <c r="H60" s="376"/>
      <c r="I60" s="376"/>
      <c r="J60" s="376"/>
      <c r="K60" s="295"/>
    </row>
    <row r="61" spans="2:11" s="126" customFormat="1" ht="15" customHeight="1" x14ac:dyDescent="0.2">
      <c r="B61" s="294"/>
      <c r="C61" s="264"/>
      <c r="D61" s="376" t="s">
        <v>1055</v>
      </c>
      <c r="E61" s="376"/>
      <c r="F61" s="376"/>
      <c r="G61" s="376"/>
      <c r="H61" s="376"/>
      <c r="I61" s="376"/>
      <c r="J61" s="376"/>
      <c r="K61" s="295"/>
    </row>
    <row r="62" spans="2:11" s="126" customFormat="1" ht="15" customHeight="1" x14ac:dyDescent="0.2">
      <c r="B62" s="294"/>
      <c r="C62" s="264"/>
      <c r="D62" s="375" t="s">
        <v>1056</v>
      </c>
      <c r="E62" s="375"/>
      <c r="F62" s="375"/>
      <c r="G62" s="375"/>
      <c r="H62" s="375"/>
      <c r="I62" s="375"/>
      <c r="J62" s="375"/>
      <c r="K62" s="295"/>
    </row>
    <row r="63" spans="2:11" s="126" customFormat="1" ht="15" customHeight="1" x14ac:dyDescent="0.2">
      <c r="B63" s="294"/>
      <c r="C63" s="264"/>
      <c r="D63" s="376" t="s">
        <v>1057</v>
      </c>
      <c r="E63" s="376"/>
      <c r="F63" s="376"/>
      <c r="G63" s="376"/>
      <c r="H63" s="376"/>
      <c r="I63" s="376"/>
      <c r="J63" s="376"/>
      <c r="K63" s="295"/>
    </row>
    <row r="64" spans="2:11" s="126" customFormat="1" ht="12.75" customHeight="1" x14ac:dyDescent="0.2">
      <c r="B64" s="294"/>
      <c r="C64" s="264"/>
      <c r="D64" s="264"/>
      <c r="E64" s="267"/>
      <c r="F64" s="264"/>
      <c r="G64" s="264"/>
      <c r="H64" s="264"/>
      <c r="I64" s="264"/>
      <c r="J64" s="264"/>
      <c r="K64" s="295"/>
    </row>
    <row r="65" spans="2:11" s="126" customFormat="1" ht="15" customHeight="1" x14ac:dyDescent="0.2">
      <c r="B65" s="294"/>
      <c r="C65" s="264"/>
      <c r="D65" s="376" t="s">
        <v>1058</v>
      </c>
      <c r="E65" s="376"/>
      <c r="F65" s="376"/>
      <c r="G65" s="376"/>
      <c r="H65" s="376"/>
      <c r="I65" s="376"/>
      <c r="J65" s="376"/>
      <c r="K65" s="295"/>
    </row>
    <row r="66" spans="2:11" s="126" customFormat="1" ht="15" customHeight="1" x14ac:dyDescent="0.2">
      <c r="B66" s="294"/>
      <c r="C66" s="264"/>
      <c r="D66" s="375" t="s">
        <v>1059</v>
      </c>
      <c r="E66" s="375"/>
      <c r="F66" s="375"/>
      <c r="G66" s="375"/>
      <c r="H66" s="375"/>
      <c r="I66" s="375"/>
      <c r="J66" s="375"/>
      <c r="K66" s="295"/>
    </row>
    <row r="67" spans="2:11" s="126" customFormat="1" ht="15" customHeight="1" x14ac:dyDescent="0.2">
      <c r="B67" s="294"/>
      <c r="C67" s="264"/>
      <c r="D67" s="376" t="s">
        <v>1060</v>
      </c>
      <c r="E67" s="376"/>
      <c r="F67" s="376"/>
      <c r="G67" s="376"/>
      <c r="H67" s="376"/>
      <c r="I67" s="376"/>
      <c r="J67" s="376"/>
      <c r="K67" s="295"/>
    </row>
    <row r="68" spans="2:11" s="126" customFormat="1" ht="15" customHeight="1" x14ac:dyDescent="0.2">
      <c r="B68" s="294"/>
      <c r="C68" s="264"/>
      <c r="D68" s="376" t="s">
        <v>1061</v>
      </c>
      <c r="E68" s="376"/>
      <c r="F68" s="376"/>
      <c r="G68" s="376"/>
      <c r="H68" s="376"/>
      <c r="I68" s="376"/>
      <c r="J68" s="376"/>
      <c r="K68" s="295"/>
    </row>
    <row r="69" spans="2:11" s="126" customFormat="1" ht="15" customHeight="1" x14ac:dyDescent="0.2">
      <c r="B69" s="294"/>
      <c r="C69" s="264"/>
      <c r="D69" s="376" t="s">
        <v>1062</v>
      </c>
      <c r="E69" s="376"/>
      <c r="F69" s="376"/>
      <c r="G69" s="376"/>
      <c r="H69" s="376"/>
      <c r="I69" s="376"/>
      <c r="J69" s="376"/>
      <c r="K69" s="295"/>
    </row>
    <row r="70" spans="2:11" s="126" customFormat="1" ht="15" customHeight="1" x14ac:dyDescent="0.2">
      <c r="B70" s="294"/>
      <c r="C70" s="264"/>
      <c r="D70" s="376" t="s">
        <v>1063</v>
      </c>
      <c r="E70" s="376"/>
      <c r="F70" s="376"/>
      <c r="G70" s="376"/>
      <c r="H70" s="376"/>
      <c r="I70" s="376"/>
      <c r="J70" s="376"/>
      <c r="K70" s="295"/>
    </row>
    <row r="71" spans="2:11" s="126" customFormat="1" ht="12.75" customHeight="1" x14ac:dyDescent="0.2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pans="2:11" s="126" customFormat="1" ht="18.75" customHeight="1" x14ac:dyDescent="0.2">
      <c r="B72" s="301"/>
      <c r="C72" s="301"/>
      <c r="D72" s="301"/>
      <c r="E72" s="301"/>
      <c r="F72" s="301"/>
      <c r="G72" s="301"/>
      <c r="H72" s="301"/>
      <c r="I72" s="301"/>
      <c r="J72" s="301"/>
      <c r="K72" s="301"/>
    </row>
    <row r="73" spans="2:11" s="126" customFormat="1" ht="18.75" customHeight="1" x14ac:dyDescent="0.2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26" customFormat="1" ht="7.5" customHeight="1" x14ac:dyDescent="0.2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26" customFormat="1" ht="45" customHeight="1" x14ac:dyDescent="0.2">
      <c r="B75" s="305"/>
      <c r="C75" s="374" t="s">
        <v>1064</v>
      </c>
      <c r="D75" s="374"/>
      <c r="E75" s="374"/>
      <c r="F75" s="374"/>
      <c r="G75" s="374"/>
      <c r="H75" s="374"/>
      <c r="I75" s="374"/>
      <c r="J75" s="374"/>
      <c r="K75" s="306"/>
    </row>
    <row r="76" spans="2:11" s="126" customFormat="1" ht="17.25" customHeight="1" x14ac:dyDescent="0.2">
      <c r="B76" s="305"/>
      <c r="C76" s="307" t="s">
        <v>1065</v>
      </c>
      <c r="D76" s="307"/>
      <c r="E76" s="307"/>
      <c r="F76" s="307" t="s">
        <v>1066</v>
      </c>
      <c r="G76" s="308"/>
      <c r="H76" s="307" t="s">
        <v>24</v>
      </c>
      <c r="I76" s="307" t="s">
        <v>521</v>
      </c>
      <c r="J76" s="307" t="s">
        <v>1067</v>
      </c>
      <c r="K76" s="306"/>
    </row>
    <row r="77" spans="2:11" s="126" customFormat="1" ht="17.25" customHeight="1" x14ac:dyDescent="0.2">
      <c r="B77" s="305"/>
      <c r="C77" s="309" t="s">
        <v>1068</v>
      </c>
      <c r="D77" s="309"/>
      <c r="E77" s="309"/>
      <c r="F77" s="310" t="s">
        <v>1069</v>
      </c>
      <c r="G77" s="311"/>
      <c r="H77" s="309"/>
      <c r="I77" s="309"/>
      <c r="J77" s="309" t="s">
        <v>1070</v>
      </c>
      <c r="K77" s="306"/>
    </row>
    <row r="78" spans="2:11" s="126" customFormat="1" ht="5.25" customHeight="1" x14ac:dyDescent="0.2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26" customFormat="1" ht="15" customHeight="1" x14ac:dyDescent="0.2">
      <c r="B79" s="305"/>
      <c r="C79" s="265" t="s">
        <v>23</v>
      </c>
      <c r="D79" s="268"/>
      <c r="E79" s="268"/>
      <c r="F79" s="269" t="s">
        <v>191</v>
      </c>
      <c r="G79" s="265"/>
      <c r="H79" s="265" t="s">
        <v>1071</v>
      </c>
      <c r="I79" s="265" t="s">
        <v>1072</v>
      </c>
      <c r="J79" s="265">
        <v>20</v>
      </c>
      <c r="K79" s="306"/>
    </row>
    <row r="80" spans="2:11" s="126" customFormat="1" ht="15" customHeight="1" x14ac:dyDescent="0.2">
      <c r="B80" s="305"/>
      <c r="C80" s="265" t="s">
        <v>1073</v>
      </c>
      <c r="D80" s="265"/>
      <c r="E80" s="265"/>
      <c r="F80" s="269" t="s">
        <v>191</v>
      </c>
      <c r="G80" s="265"/>
      <c r="H80" s="265" t="s">
        <v>1074</v>
      </c>
      <c r="I80" s="265" t="s">
        <v>1072</v>
      </c>
      <c r="J80" s="265">
        <v>120</v>
      </c>
      <c r="K80" s="306"/>
    </row>
    <row r="81" spans="2:11" s="126" customFormat="1" ht="15" customHeight="1" x14ac:dyDescent="0.2">
      <c r="B81" s="314"/>
      <c r="C81" s="265" t="s">
        <v>1075</v>
      </c>
      <c r="D81" s="265"/>
      <c r="E81" s="265"/>
      <c r="F81" s="269" t="s">
        <v>1076</v>
      </c>
      <c r="G81" s="265"/>
      <c r="H81" s="265" t="s">
        <v>1077</v>
      </c>
      <c r="I81" s="265" t="s">
        <v>1072</v>
      </c>
      <c r="J81" s="265">
        <v>50</v>
      </c>
      <c r="K81" s="306"/>
    </row>
    <row r="82" spans="2:11" s="126" customFormat="1" ht="15" customHeight="1" x14ac:dyDescent="0.2">
      <c r="B82" s="314"/>
      <c r="C82" s="265" t="s">
        <v>1078</v>
      </c>
      <c r="D82" s="265"/>
      <c r="E82" s="265"/>
      <c r="F82" s="269" t="s">
        <v>191</v>
      </c>
      <c r="G82" s="265"/>
      <c r="H82" s="265" t="s">
        <v>1079</v>
      </c>
      <c r="I82" s="265" t="s">
        <v>1080</v>
      </c>
      <c r="J82" s="265"/>
      <c r="K82" s="306"/>
    </row>
    <row r="83" spans="2:11" s="126" customFormat="1" ht="15" customHeight="1" x14ac:dyDescent="0.2">
      <c r="B83" s="314"/>
      <c r="C83" s="265" t="s">
        <v>1081</v>
      </c>
      <c r="D83" s="265"/>
      <c r="E83" s="265"/>
      <c r="F83" s="269" t="s">
        <v>1076</v>
      </c>
      <c r="G83" s="265"/>
      <c r="H83" s="265" t="s">
        <v>1082</v>
      </c>
      <c r="I83" s="265" t="s">
        <v>1072</v>
      </c>
      <c r="J83" s="265">
        <v>15</v>
      </c>
      <c r="K83" s="306"/>
    </row>
    <row r="84" spans="2:11" s="126" customFormat="1" ht="15" customHeight="1" x14ac:dyDescent="0.2">
      <c r="B84" s="314"/>
      <c r="C84" s="265" t="s">
        <v>1083</v>
      </c>
      <c r="D84" s="265"/>
      <c r="E84" s="265"/>
      <c r="F84" s="269" t="s">
        <v>1076</v>
      </c>
      <c r="G84" s="265"/>
      <c r="H84" s="265" t="s">
        <v>1084</v>
      </c>
      <c r="I84" s="265" t="s">
        <v>1072</v>
      </c>
      <c r="J84" s="265">
        <v>15</v>
      </c>
      <c r="K84" s="306"/>
    </row>
    <row r="85" spans="2:11" s="126" customFormat="1" ht="15" customHeight="1" x14ac:dyDescent="0.2">
      <c r="B85" s="314"/>
      <c r="C85" s="265" t="s">
        <v>1085</v>
      </c>
      <c r="D85" s="265"/>
      <c r="E85" s="265"/>
      <c r="F85" s="269" t="s">
        <v>1076</v>
      </c>
      <c r="G85" s="265"/>
      <c r="H85" s="265" t="s">
        <v>1086</v>
      </c>
      <c r="I85" s="265" t="s">
        <v>1072</v>
      </c>
      <c r="J85" s="265">
        <v>20</v>
      </c>
      <c r="K85" s="306"/>
    </row>
    <row r="86" spans="2:11" s="126" customFormat="1" ht="15" customHeight="1" x14ac:dyDescent="0.2">
      <c r="B86" s="314"/>
      <c r="C86" s="265" t="s">
        <v>1087</v>
      </c>
      <c r="D86" s="265"/>
      <c r="E86" s="265"/>
      <c r="F86" s="269" t="s">
        <v>1076</v>
      </c>
      <c r="G86" s="265"/>
      <c r="H86" s="265" t="s">
        <v>1088</v>
      </c>
      <c r="I86" s="265" t="s">
        <v>1072</v>
      </c>
      <c r="J86" s="265">
        <v>20</v>
      </c>
      <c r="K86" s="306"/>
    </row>
    <row r="87" spans="2:11" s="126" customFormat="1" ht="15" customHeight="1" x14ac:dyDescent="0.2">
      <c r="B87" s="314"/>
      <c r="C87" s="265" t="s">
        <v>1089</v>
      </c>
      <c r="D87" s="265"/>
      <c r="E87" s="265"/>
      <c r="F87" s="269" t="s">
        <v>1076</v>
      </c>
      <c r="G87" s="265"/>
      <c r="H87" s="265" t="s">
        <v>1090</v>
      </c>
      <c r="I87" s="265" t="s">
        <v>1072</v>
      </c>
      <c r="J87" s="265">
        <v>50</v>
      </c>
      <c r="K87" s="306"/>
    </row>
    <row r="88" spans="2:11" s="126" customFormat="1" ht="15" customHeight="1" x14ac:dyDescent="0.2">
      <c r="B88" s="314"/>
      <c r="C88" s="265" t="s">
        <v>1091</v>
      </c>
      <c r="D88" s="265"/>
      <c r="E88" s="265"/>
      <c r="F88" s="269" t="s">
        <v>1076</v>
      </c>
      <c r="G88" s="265"/>
      <c r="H88" s="265" t="s">
        <v>1092</v>
      </c>
      <c r="I88" s="265" t="s">
        <v>1072</v>
      </c>
      <c r="J88" s="265">
        <v>20</v>
      </c>
      <c r="K88" s="306"/>
    </row>
    <row r="89" spans="2:11" s="126" customFormat="1" ht="15" customHeight="1" x14ac:dyDescent="0.2">
      <c r="B89" s="314"/>
      <c r="C89" s="265" t="s">
        <v>1093</v>
      </c>
      <c r="D89" s="265"/>
      <c r="E89" s="265"/>
      <c r="F89" s="269" t="s">
        <v>1076</v>
      </c>
      <c r="G89" s="265"/>
      <c r="H89" s="265" t="s">
        <v>1094</v>
      </c>
      <c r="I89" s="265" t="s">
        <v>1072</v>
      </c>
      <c r="J89" s="265">
        <v>20</v>
      </c>
      <c r="K89" s="306"/>
    </row>
    <row r="90" spans="2:11" s="126" customFormat="1" ht="15" customHeight="1" x14ac:dyDescent="0.2">
      <c r="B90" s="314"/>
      <c r="C90" s="265" t="s">
        <v>1095</v>
      </c>
      <c r="D90" s="265"/>
      <c r="E90" s="265"/>
      <c r="F90" s="269" t="s">
        <v>1076</v>
      </c>
      <c r="G90" s="265"/>
      <c r="H90" s="265" t="s">
        <v>1096</v>
      </c>
      <c r="I90" s="265" t="s">
        <v>1072</v>
      </c>
      <c r="J90" s="265">
        <v>50</v>
      </c>
      <c r="K90" s="306"/>
    </row>
    <row r="91" spans="2:11" s="126" customFormat="1" ht="15" customHeight="1" x14ac:dyDescent="0.2">
      <c r="B91" s="314"/>
      <c r="C91" s="265" t="s">
        <v>210</v>
      </c>
      <c r="D91" s="265"/>
      <c r="E91" s="265"/>
      <c r="F91" s="269" t="s">
        <v>1076</v>
      </c>
      <c r="G91" s="265"/>
      <c r="H91" s="265" t="s">
        <v>210</v>
      </c>
      <c r="I91" s="265" t="s">
        <v>1072</v>
      </c>
      <c r="J91" s="265">
        <v>50</v>
      </c>
      <c r="K91" s="306"/>
    </row>
    <row r="92" spans="2:11" s="126" customFormat="1" ht="15" customHeight="1" x14ac:dyDescent="0.2">
      <c r="B92" s="314"/>
      <c r="C92" s="265" t="s">
        <v>1097</v>
      </c>
      <c r="D92" s="265"/>
      <c r="E92" s="265"/>
      <c r="F92" s="269" t="s">
        <v>1076</v>
      </c>
      <c r="G92" s="265"/>
      <c r="H92" s="265" t="s">
        <v>1098</v>
      </c>
      <c r="I92" s="265" t="s">
        <v>1072</v>
      </c>
      <c r="J92" s="265">
        <v>255</v>
      </c>
      <c r="K92" s="306"/>
    </row>
    <row r="93" spans="2:11" s="126" customFormat="1" ht="15" customHeight="1" x14ac:dyDescent="0.2">
      <c r="B93" s="314"/>
      <c r="C93" s="265" t="s">
        <v>1099</v>
      </c>
      <c r="D93" s="265"/>
      <c r="E93" s="265"/>
      <c r="F93" s="269" t="s">
        <v>191</v>
      </c>
      <c r="G93" s="265"/>
      <c r="H93" s="265" t="s">
        <v>1100</v>
      </c>
      <c r="I93" s="265" t="s">
        <v>1101</v>
      </c>
      <c r="J93" s="265"/>
      <c r="K93" s="306"/>
    </row>
    <row r="94" spans="2:11" s="126" customFormat="1" ht="15" customHeight="1" x14ac:dyDescent="0.2">
      <c r="B94" s="314"/>
      <c r="C94" s="265" t="s">
        <v>1102</v>
      </c>
      <c r="D94" s="265"/>
      <c r="E94" s="265"/>
      <c r="F94" s="269" t="s">
        <v>191</v>
      </c>
      <c r="G94" s="265"/>
      <c r="H94" s="265" t="s">
        <v>1103</v>
      </c>
      <c r="I94" s="265" t="s">
        <v>1104</v>
      </c>
      <c r="J94" s="265"/>
      <c r="K94" s="306"/>
    </row>
    <row r="95" spans="2:11" s="126" customFormat="1" ht="15" customHeight="1" x14ac:dyDescent="0.2">
      <c r="B95" s="314"/>
      <c r="C95" s="265" t="s">
        <v>1105</v>
      </c>
      <c r="D95" s="265"/>
      <c r="E95" s="265"/>
      <c r="F95" s="269" t="s">
        <v>191</v>
      </c>
      <c r="G95" s="265"/>
      <c r="H95" s="265" t="s">
        <v>1105</v>
      </c>
      <c r="I95" s="265" t="s">
        <v>1104</v>
      </c>
      <c r="J95" s="265"/>
      <c r="K95" s="306"/>
    </row>
    <row r="96" spans="2:11" s="126" customFormat="1" ht="15" customHeight="1" x14ac:dyDescent="0.2">
      <c r="B96" s="314"/>
      <c r="C96" s="265" t="s">
        <v>508</v>
      </c>
      <c r="D96" s="265"/>
      <c r="E96" s="265"/>
      <c r="F96" s="269" t="s">
        <v>191</v>
      </c>
      <c r="G96" s="265"/>
      <c r="H96" s="265" t="s">
        <v>1106</v>
      </c>
      <c r="I96" s="265" t="s">
        <v>1104</v>
      </c>
      <c r="J96" s="265"/>
      <c r="K96" s="306"/>
    </row>
    <row r="97" spans="2:11" s="126" customFormat="1" ht="15" customHeight="1" x14ac:dyDescent="0.2">
      <c r="B97" s="314"/>
      <c r="C97" s="265" t="s">
        <v>518</v>
      </c>
      <c r="D97" s="265"/>
      <c r="E97" s="265"/>
      <c r="F97" s="269" t="s">
        <v>191</v>
      </c>
      <c r="G97" s="265"/>
      <c r="H97" s="265" t="s">
        <v>1107</v>
      </c>
      <c r="I97" s="265" t="s">
        <v>1104</v>
      </c>
      <c r="J97" s="265"/>
      <c r="K97" s="306"/>
    </row>
    <row r="98" spans="2:11" s="126" customFormat="1" ht="15" customHeight="1" x14ac:dyDescent="0.2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26" customFormat="1" ht="18.75" customHeight="1" x14ac:dyDescent="0.2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26" customFormat="1" ht="18.75" customHeight="1" x14ac:dyDescent="0.2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26" customFormat="1" ht="7.5" customHeight="1" x14ac:dyDescent="0.2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26" customFormat="1" ht="45" customHeight="1" x14ac:dyDescent="0.2">
      <c r="B102" s="305"/>
      <c r="C102" s="374" t="s">
        <v>1108</v>
      </c>
      <c r="D102" s="374"/>
      <c r="E102" s="374"/>
      <c r="F102" s="374"/>
      <c r="G102" s="374"/>
      <c r="H102" s="374"/>
      <c r="I102" s="374"/>
      <c r="J102" s="374"/>
      <c r="K102" s="306"/>
    </row>
    <row r="103" spans="2:11" s="126" customFormat="1" ht="17.25" customHeight="1" x14ac:dyDescent="0.2">
      <c r="B103" s="305"/>
      <c r="C103" s="307" t="s">
        <v>1065</v>
      </c>
      <c r="D103" s="307"/>
      <c r="E103" s="307"/>
      <c r="F103" s="307" t="s">
        <v>1066</v>
      </c>
      <c r="G103" s="308"/>
      <c r="H103" s="307" t="s">
        <v>24</v>
      </c>
      <c r="I103" s="307" t="s">
        <v>521</v>
      </c>
      <c r="J103" s="307" t="s">
        <v>1067</v>
      </c>
      <c r="K103" s="306"/>
    </row>
    <row r="104" spans="2:11" s="126" customFormat="1" ht="17.25" customHeight="1" x14ac:dyDescent="0.2">
      <c r="B104" s="305"/>
      <c r="C104" s="309" t="s">
        <v>1068</v>
      </c>
      <c r="D104" s="309"/>
      <c r="E104" s="309"/>
      <c r="F104" s="310" t="s">
        <v>1069</v>
      </c>
      <c r="G104" s="311"/>
      <c r="H104" s="309"/>
      <c r="I104" s="309"/>
      <c r="J104" s="309" t="s">
        <v>1070</v>
      </c>
      <c r="K104" s="306"/>
    </row>
    <row r="105" spans="2:11" s="126" customFormat="1" ht="5.25" customHeight="1" x14ac:dyDescent="0.2">
      <c r="B105" s="305"/>
      <c r="C105" s="307"/>
      <c r="D105" s="307"/>
      <c r="E105" s="307"/>
      <c r="F105" s="307"/>
      <c r="G105" s="308"/>
      <c r="H105" s="307"/>
      <c r="I105" s="307"/>
      <c r="J105" s="307"/>
      <c r="K105" s="306"/>
    </row>
    <row r="106" spans="2:11" s="126" customFormat="1" ht="15" customHeight="1" x14ac:dyDescent="0.2">
      <c r="B106" s="305"/>
      <c r="C106" s="265" t="s">
        <v>23</v>
      </c>
      <c r="D106" s="268"/>
      <c r="E106" s="268"/>
      <c r="F106" s="269" t="s">
        <v>191</v>
      </c>
      <c r="G106" s="265"/>
      <c r="H106" s="265" t="s">
        <v>1109</v>
      </c>
      <c r="I106" s="265" t="s">
        <v>1072</v>
      </c>
      <c r="J106" s="265">
        <v>20</v>
      </c>
      <c r="K106" s="306"/>
    </row>
    <row r="107" spans="2:11" s="126" customFormat="1" ht="15" customHeight="1" x14ac:dyDescent="0.2">
      <c r="B107" s="305"/>
      <c r="C107" s="265" t="s">
        <v>1073</v>
      </c>
      <c r="D107" s="265"/>
      <c r="E107" s="265"/>
      <c r="F107" s="269" t="s">
        <v>191</v>
      </c>
      <c r="G107" s="265"/>
      <c r="H107" s="265" t="s">
        <v>1109</v>
      </c>
      <c r="I107" s="265" t="s">
        <v>1072</v>
      </c>
      <c r="J107" s="265">
        <v>120</v>
      </c>
      <c r="K107" s="306"/>
    </row>
    <row r="108" spans="2:11" s="126" customFormat="1" ht="15" customHeight="1" x14ac:dyDescent="0.2">
      <c r="B108" s="314"/>
      <c r="C108" s="265" t="s">
        <v>1075</v>
      </c>
      <c r="D108" s="265"/>
      <c r="E108" s="265"/>
      <c r="F108" s="269" t="s">
        <v>1076</v>
      </c>
      <c r="G108" s="265"/>
      <c r="H108" s="265" t="s">
        <v>1109</v>
      </c>
      <c r="I108" s="265" t="s">
        <v>1072</v>
      </c>
      <c r="J108" s="265">
        <v>50</v>
      </c>
      <c r="K108" s="306"/>
    </row>
    <row r="109" spans="2:11" s="126" customFormat="1" ht="15" customHeight="1" x14ac:dyDescent="0.2">
      <c r="B109" s="314"/>
      <c r="C109" s="265" t="s">
        <v>1078</v>
      </c>
      <c r="D109" s="265"/>
      <c r="E109" s="265"/>
      <c r="F109" s="269" t="s">
        <v>191</v>
      </c>
      <c r="G109" s="265"/>
      <c r="H109" s="265" t="s">
        <v>1109</v>
      </c>
      <c r="I109" s="265" t="s">
        <v>1080</v>
      </c>
      <c r="J109" s="265"/>
      <c r="K109" s="306"/>
    </row>
    <row r="110" spans="2:11" s="126" customFormat="1" ht="15" customHeight="1" x14ac:dyDescent="0.2">
      <c r="B110" s="314"/>
      <c r="C110" s="265" t="s">
        <v>1089</v>
      </c>
      <c r="D110" s="265"/>
      <c r="E110" s="265"/>
      <c r="F110" s="269" t="s">
        <v>1076</v>
      </c>
      <c r="G110" s="265"/>
      <c r="H110" s="265" t="s">
        <v>1109</v>
      </c>
      <c r="I110" s="265" t="s">
        <v>1072</v>
      </c>
      <c r="J110" s="265">
        <v>50</v>
      </c>
      <c r="K110" s="306"/>
    </row>
    <row r="111" spans="2:11" s="126" customFormat="1" ht="15" customHeight="1" x14ac:dyDescent="0.2">
      <c r="B111" s="314"/>
      <c r="C111" s="265" t="s">
        <v>210</v>
      </c>
      <c r="D111" s="265"/>
      <c r="E111" s="265"/>
      <c r="F111" s="269" t="s">
        <v>1076</v>
      </c>
      <c r="G111" s="265"/>
      <c r="H111" s="265" t="s">
        <v>1109</v>
      </c>
      <c r="I111" s="265" t="s">
        <v>1072</v>
      </c>
      <c r="J111" s="265">
        <v>50</v>
      </c>
      <c r="K111" s="306"/>
    </row>
    <row r="112" spans="2:11" s="126" customFormat="1" ht="15" customHeight="1" x14ac:dyDescent="0.2">
      <c r="B112" s="314"/>
      <c r="C112" s="265" t="s">
        <v>1095</v>
      </c>
      <c r="D112" s="265"/>
      <c r="E112" s="265"/>
      <c r="F112" s="269" t="s">
        <v>1076</v>
      </c>
      <c r="G112" s="265"/>
      <c r="H112" s="265" t="s">
        <v>1109</v>
      </c>
      <c r="I112" s="265" t="s">
        <v>1072</v>
      </c>
      <c r="J112" s="265">
        <v>50</v>
      </c>
      <c r="K112" s="306"/>
    </row>
    <row r="113" spans="2:11" s="126" customFormat="1" ht="15" customHeight="1" x14ac:dyDescent="0.2">
      <c r="B113" s="314"/>
      <c r="C113" s="265" t="s">
        <v>23</v>
      </c>
      <c r="D113" s="265"/>
      <c r="E113" s="265"/>
      <c r="F113" s="269" t="s">
        <v>191</v>
      </c>
      <c r="G113" s="265"/>
      <c r="H113" s="265" t="s">
        <v>1110</v>
      </c>
      <c r="I113" s="265" t="s">
        <v>1072</v>
      </c>
      <c r="J113" s="265">
        <v>20</v>
      </c>
      <c r="K113" s="306"/>
    </row>
    <row r="114" spans="2:11" s="126" customFormat="1" ht="15" customHeight="1" x14ac:dyDescent="0.2">
      <c r="B114" s="314"/>
      <c r="C114" s="265" t="s">
        <v>1111</v>
      </c>
      <c r="D114" s="265"/>
      <c r="E114" s="265"/>
      <c r="F114" s="269" t="s">
        <v>191</v>
      </c>
      <c r="G114" s="265"/>
      <c r="H114" s="265" t="s">
        <v>1112</v>
      </c>
      <c r="I114" s="265" t="s">
        <v>1072</v>
      </c>
      <c r="J114" s="265">
        <v>120</v>
      </c>
      <c r="K114" s="306"/>
    </row>
    <row r="115" spans="2:11" s="126" customFormat="1" ht="15" customHeight="1" x14ac:dyDescent="0.2">
      <c r="B115" s="314"/>
      <c r="C115" s="265" t="s">
        <v>508</v>
      </c>
      <c r="D115" s="265"/>
      <c r="E115" s="265"/>
      <c r="F115" s="269" t="s">
        <v>191</v>
      </c>
      <c r="G115" s="265"/>
      <c r="H115" s="265" t="s">
        <v>1113</v>
      </c>
      <c r="I115" s="265" t="s">
        <v>1104</v>
      </c>
      <c r="J115" s="265"/>
      <c r="K115" s="306"/>
    </row>
    <row r="116" spans="2:11" s="126" customFormat="1" ht="15" customHeight="1" x14ac:dyDescent="0.2">
      <c r="B116" s="314"/>
      <c r="C116" s="265" t="s">
        <v>518</v>
      </c>
      <c r="D116" s="265"/>
      <c r="E116" s="265"/>
      <c r="F116" s="269" t="s">
        <v>191</v>
      </c>
      <c r="G116" s="265"/>
      <c r="H116" s="265" t="s">
        <v>1114</v>
      </c>
      <c r="I116" s="265" t="s">
        <v>1104</v>
      </c>
      <c r="J116" s="265"/>
      <c r="K116" s="306"/>
    </row>
    <row r="117" spans="2:11" s="126" customFormat="1" ht="15" customHeight="1" x14ac:dyDescent="0.2">
      <c r="B117" s="314"/>
      <c r="C117" s="265" t="s">
        <v>521</v>
      </c>
      <c r="D117" s="265"/>
      <c r="E117" s="265"/>
      <c r="F117" s="269" t="s">
        <v>191</v>
      </c>
      <c r="G117" s="265"/>
      <c r="H117" s="265" t="s">
        <v>1115</v>
      </c>
      <c r="I117" s="265" t="s">
        <v>1116</v>
      </c>
      <c r="J117" s="265"/>
      <c r="K117" s="306"/>
    </row>
    <row r="118" spans="2:11" s="126" customFormat="1" ht="15" customHeight="1" x14ac:dyDescent="0.2">
      <c r="B118" s="315"/>
      <c r="C118" s="320"/>
      <c r="D118" s="320"/>
      <c r="E118" s="320"/>
      <c r="F118" s="320"/>
      <c r="G118" s="320"/>
      <c r="H118" s="320"/>
      <c r="I118" s="320"/>
      <c r="J118" s="320"/>
      <c r="K118" s="317"/>
    </row>
    <row r="119" spans="2:11" s="126" customFormat="1" ht="18.75" customHeight="1" x14ac:dyDescent="0.2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pans="2:11" s="126" customFormat="1" ht="18.75" customHeight="1" x14ac:dyDescent="0.2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26" customFormat="1" ht="7.5" customHeight="1" x14ac:dyDescent="0.2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pans="2:11" s="126" customFormat="1" ht="45" customHeight="1" x14ac:dyDescent="0.2">
      <c r="B122" s="327"/>
      <c r="C122" s="371" t="s">
        <v>1117</v>
      </c>
      <c r="D122" s="371"/>
      <c r="E122" s="371"/>
      <c r="F122" s="371"/>
      <c r="G122" s="371"/>
      <c r="H122" s="371"/>
      <c r="I122" s="371"/>
      <c r="J122" s="371"/>
      <c r="K122" s="328"/>
    </row>
    <row r="123" spans="2:11" s="126" customFormat="1" ht="17.25" customHeight="1" x14ac:dyDescent="0.2">
      <c r="B123" s="329"/>
      <c r="C123" s="307" t="s">
        <v>1065</v>
      </c>
      <c r="D123" s="307"/>
      <c r="E123" s="307"/>
      <c r="F123" s="307" t="s">
        <v>1066</v>
      </c>
      <c r="G123" s="308"/>
      <c r="H123" s="307" t="s">
        <v>24</v>
      </c>
      <c r="I123" s="307" t="s">
        <v>521</v>
      </c>
      <c r="J123" s="307" t="s">
        <v>1067</v>
      </c>
      <c r="K123" s="330"/>
    </row>
    <row r="124" spans="2:11" s="126" customFormat="1" ht="17.25" customHeight="1" x14ac:dyDescent="0.2">
      <c r="B124" s="329"/>
      <c r="C124" s="309" t="s">
        <v>1068</v>
      </c>
      <c r="D124" s="309"/>
      <c r="E124" s="309"/>
      <c r="F124" s="310" t="s">
        <v>1069</v>
      </c>
      <c r="G124" s="311"/>
      <c r="H124" s="309"/>
      <c r="I124" s="309"/>
      <c r="J124" s="309" t="s">
        <v>1070</v>
      </c>
      <c r="K124" s="330"/>
    </row>
    <row r="125" spans="2:11" s="126" customFormat="1" ht="5.25" customHeight="1" x14ac:dyDescent="0.2">
      <c r="B125" s="331"/>
      <c r="C125" s="312"/>
      <c r="D125" s="312"/>
      <c r="E125" s="312"/>
      <c r="F125" s="312"/>
      <c r="G125" s="313"/>
      <c r="H125" s="312"/>
      <c r="I125" s="312"/>
      <c r="J125" s="312"/>
      <c r="K125" s="332"/>
    </row>
    <row r="126" spans="2:11" s="126" customFormat="1" ht="15" customHeight="1" x14ac:dyDescent="0.2">
      <c r="B126" s="331"/>
      <c r="C126" s="265" t="s">
        <v>1073</v>
      </c>
      <c r="D126" s="268"/>
      <c r="E126" s="268"/>
      <c r="F126" s="269" t="s">
        <v>191</v>
      </c>
      <c r="G126" s="265"/>
      <c r="H126" s="265" t="s">
        <v>1109</v>
      </c>
      <c r="I126" s="265" t="s">
        <v>1072</v>
      </c>
      <c r="J126" s="265">
        <v>120</v>
      </c>
      <c r="K126" s="333"/>
    </row>
    <row r="127" spans="2:11" s="126" customFormat="1" ht="15" customHeight="1" x14ac:dyDescent="0.2">
      <c r="B127" s="331"/>
      <c r="C127" s="265" t="s">
        <v>1118</v>
      </c>
      <c r="D127" s="265"/>
      <c r="E127" s="265"/>
      <c r="F127" s="269" t="s">
        <v>191</v>
      </c>
      <c r="G127" s="265"/>
      <c r="H127" s="265" t="s">
        <v>1119</v>
      </c>
      <c r="I127" s="265" t="s">
        <v>1072</v>
      </c>
      <c r="J127" s="265" t="s">
        <v>1120</v>
      </c>
      <c r="K127" s="333"/>
    </row>
    <row r="128" spans="2:11" s="126" customFormat="1" ht="15" customHeight="1" x14ac:dyDescent="0.2">
      <c r="B128" s="331"/>
      <c r="C128" s="265" t="s">
        <v>525</v>
      </c>
      <c r="D128" s="265"/>
      <c r="E128" s="265"/>
      <c r="F128" s="269" t="s">
        <v>191</v>
      </c>
      <c r="G128" s="265"/>
      <c r="H128" s="265" t="s">
        <v>1121</v>
      </c>
      <c r="I128" s="265" t="s">
        <v>1072</v>
      </c>
      <c r="J128" s="265" t="s">
        <v>1120</v>
      </c>
      <c r="K128" s="333"/>
    </row>
    <row r="129" spans="2:11" s="126" customFormat="1" ht="15" customHeight="1" x14ac:dyDescent="0.2">
      <c r="B129" s="331"/>
      <c r="C129" s="265" t="s">
        <v>1081</v>
      </c>
      <c r="D129" s="265"/>
      <c r="E129" s="265"/>
      <c r="F129" s="269" t="s">
        <v>1076</v>
      </c>
      <c r="G129" s="265"/>
      <c r="H129" s="265" t="s">
        <v>1082</v>
      </c>
      <c r="I129" s="265" t="s">
        <v>1072</v>
      </c>
      <c r="J129" s="265">
        <v>15</v>
      </c>
      <c r="K129" s="333"/>
    </row>
    <row r="130" spans="2:11" s="126" customFormat="1" ht="15" customHeight="1" x14ac:dyDescent="0.2">
      <c r="B130" s="331"/>
      <c r="C130" s="265" t="s">
        <v>1083</v>
      </c>
      <c r="D130" s="265"/>
      <c r="E130" s="265"/>
      <c r="F130" s="269" t="s">
        <v>1076</v>
      </c>
      <c r="G130" s="265"/>
      <c r="H130" s="265" t="s">
        <v>1084</v>
      </c>
      <c r="I130" s="265" t="s">
        <v>1072</v>
      </c>
      <c r="J130" s="265">
        <v>15</v>
      </c>
      <c r="K130" s="333"/>
    </row>
    <row r="131" spans="2:11" s="126" customFormat="1" ht="15" customHeight="1" x14ac:dyDescent="0.2">
      <c r="B131" s="331"/>
      <c r="C131" s="265" t="s">
        <v>1085</v>
      </c>
      <c r="D131" s="265"/>
      <c r="E131" s="265"/>
      <c r="F131" s="269" t="s">
        <v>1076</v>
      </c>
      <c r="G131" s="265"/>
      <c r="H131" s="265" t="s">
        <v>1086</v>
      </c>
      <c r="I131" s="265" t="s">
        <v>1072</v>
      </c>
      <c r="J131" s="265">
        <v>20</v>
      </c>
      <c r="K131" s="333"/>
    </row>
    <row r="132" spans="2:11" s="126" customFormat="1" ht="15" customHeight="1" x14ac:dyDescent="0.2">
      <c r="B132" s="331"/>
      <c r="C132" s="265" t="s">
        <v>1087</v>
      </c>
      <c r="D132" s="265"/>
      <c r="E132" s="265"/>
      <c r="F132" s="269" t="s">
        <v>1076</v>
      </c>
      <c r="G132" s="265"/>
      <c r="H132" s="265" t="s">
        <v>1088</v>
      </c>
      <c r="I132" s="265" t="s">
        <v>1072</v>
      </c>
      <c r="J132" s="265">
        <v>20</v>
      </c>
      <c r="K132" s="333"/>
    </row>
    <row r="133" spans="2:11" s="126" customFormat="1" ht="15" customHeight="1" x14ac:dyDescent="0.2">
      <c r="B133" s="331"/>
      <c r="C133" s="265" t="s">
        <v>1075</v>
      </c>
      <c r="D133" s="265"/>
      <c r="E133" s="265"/>
      <c r="F133" s="269" t="s">
        <v>1076</v>
      </c>
      <c r="G133" s="265"/>
      <c r="H133" s="265" t="s">
        <v>1109</v>
      </c>
      <c r="I133" s="265" t="s">
        <v>1072</v>
      </c>
      <c r="J133" s="265">
        <v>50</v>
      </c>
      <c r="K133" s="333"/>
    </row>
    <row r="134" spans="2:11" s="126" customFormat="1" ht="15" customHeight="1" x14ac:dyDescent="0.2">
      <c r="B134" s="331"/>
      <c r="C134" s="265" t="s">
        <v>1089</v>
      </c>
      <c r="D134" s="265"/>
      <c r="E134" s="265"/>
      <c r="F134" s="269" t="s">
        <v>1076</v>
      </c>
      <c r="G134" s="265"/>
      <c r="H134" s="265" t="s">
        <v>1109</v>
      </c>
      <c r="I134" s="265" t="s">
        <v>1072</v>
      </c>
      <c r="J134" s="265">
        <v>50</v>
      </c>
      <c r="K134" s="333"/>
    </row>
    <row r="135" spans="2:11" s="126" customFormat="1" ht="15" customHeight="1" x14ac:dyDescent="0.2">
      <c r="B135" s="331"/>
      <c r="C135" s="265" t="s">
        <v>1095</v>
      </c>
      <c r="D135" s="265"/>
      <c r="E135" s="265"/>
      <c r="F135" s="269" t="s">
        <v>1076</v>
      </c>
      <c r="G135" s="265"/>
      <c r="H135" s="265" t="s">
        <v>1109</v>
      </c>
      <c r="I135" s="265" t="s">
        <v>1072</v>
      </c>
      <c r="J135" s="265">
        <v>50</v>
      </c>
      <c r="K135" s="333"/>
    </row>
    <row r="136" spans="2:11" s="126" customFormat="1" ht="15" customHeight="1" x14ac:dyDescent="0.2">
      <c r="B136" s="331"/>
      <c r="C136" s="265" t="s">
        <v>210</v>
      </c>
      <c r="D136" s="265"/>
      <c r="E136" s="265"/>
      <c r="F136" s="269" t="s">
        <v>1076</v>
      </c>
      <c r="G136" s="265"/>
      <c r="H136" s="265" t="s">
        <v>1109</v>
      </c>
      <c r="I136" s="265" t="s">
        <v>1072</v>
      </c>
      <c r="J136" s="265">
        <v>50</v>
      </c>
      <c r="K136" s="333"/>
    </row>
    <row r="137" spans="2:11" s="126" customFormat="1" ht="15" customHeight="1" x14ac:dyDescent="0.2">
      <c r="B137" s="331"/>
      <c r="C137" s="265" t="s">
        <v>1097</v>
      </c>
      <c r="D137" s="265"/>
      <c r="E137" s="265"/>
      <c r="F137" s="269" t="s">
        <v>1076</v>
      </c>
      <c r="G137" s="265"/>
      <c r="H137" s="265" t="s">
        <v>1122</v>
      </c>
      <c r="I137" s="265" t="s">
        <v>1072</v>
      </c>
      <c r="J137" s="265">
        <v>255</v>
      </c>
      <c r="K137" s="333"/>
    </row>
    <row r="138" spans="2:11" s="126" customFormat="1" ht="15" customHeight="1" x14ac:dyDescent="0.2">
      <c r="B138" s="331"/>
      <c r="C138" s="265" t="s">
        <v>1099</v>
      </c>
      <c r="D138" s="265"/>
      <c r="E138" s="265"/>
      <c r="F138" s="269" t="s">
        <v>191</v>
      </c>
      <c r="G138" s="265"/>
      <c r="H138" s="265" t="s">
        <v>1123</v>
      </c>
      <c r="I138" s="265" t="s">
        <v>1101</v>
      </c>
      <c r="J138" s="265"/>
      <c r="K138" s="333"/>
    </row>
    <row r="139" spans="2:11" s="126" customFormat="1" ht="15" customHeight="1" x14ac:dyDescent="0.2">
      <c r="B139" s="331"/>
      <c r="C139" s="265" t="s">
        <v>1102</v>
      </c>
      <c r="D139" s="265"/>
      <c r="E139" s="265"/>
      <c r="F139" s="269" t="s">
        <v>191</v>
      </c>
      <c r="G139" s="265"/>
      <c r="H139" s="265" t="s">
        <v>1124</v>
      </c>
      <c r="I139" s="265" t="s">
        <v>1104</v>
      </c>
      <c r="J139" s="265"/>
      <c r="K139" s="333"/>
    </row>
    <row r="140" spans="2:11" s="126" customFormat="1" ht="15" customHeight="1" x14ac:dyDescent="0.2">
      <c r="B140" s="331"/>
      <c r="C140" s="265" t="s">
        <v>1105</v>
      </c>
      <c r="D140" s="265"/>
      <c r="E140" s="265"/>
      <c r="F140" s="269" t="s">
        <v>191</v>
      </c>
      <c r="G140" s="265"/>
      <c r="H140" s="265" t="s">
        <v>1105</v>
      </c>
      <c r="I140" s="265" t="s">
        <v>1104</v>
      </c>
      <c r="J140" s="265"/>
      <c r="K140" s="333"/>
    </row>
    <row r="141" spans="2:11" s="126" customFormat="1" ht="15" customHeight="1" x14ac:dyDescent="0.2">
      <c r="B141" s="331"/>
      <c r="C141" s="265" t="s">
        <v>508</v>
      </c>
      <c r="D141" s="265"/>
      <c r="E141" s="265"/>
      <c r="F141" s="269" t="s">
        <v>191</v>
      </c>
      <c r="G141" s="265"/>
      <c r="H141" s="265" t="s">
        <v>1125</v>
      </c>
      <c r="I141" s="265" t="s">
        <v>1104</v>
      </c>
      <c r="J141" s="265"/>
      <c r="K141" s="333"/>
    </row>
    <row r="142" spans="2:11" s="126" customFormat="1" ht="15" customHeight="1" x14ac:dyDescent="0.2">
      <c r="B142" s="331"/>
      <c r="C142" s="265" t="s">
        <v>1126</v>
      </c>
      <c r="D142" s="265"/>
      <c r="E142" s="265"/>
      <c r="F142" s="269" t="s">
        <v>191</v>
      </c>
      <c r="G142" s="265"/>
      <c r="H142" s="265" t="s">
        <v>1127</v>
      </c>
      <c r="I142" s="265" t="s">
        <v>1104</v>
      </c>
      <c r="J142" s="265"/>
      <c r="K142" s="333"/>
    </row>
    <row r="143" spans="2:11" s="126" customFormat="1" ht="15" customHeight="1" x14ac:dyDescent="0.2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pans="2:11" s="126" customFormat="1" ht="18.75" customHeight="1" x14ac:dyDescent="0.2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pans="2:11" s="126" customFormat="1" ht="18.75" customHeight="1" x14ac:dyDescent="0.2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26" customFormat="1" ht="7.5" customHeight="1" x14ac:dyDescent="0.2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26" customFormat="1" ht="45" customHeight="1" x14ac:dyDescent="0.2">
      <c r="B147" s="305"/>
      <c r="C147" s="374" t="s">
        <v>1128</v>
      </c>
      <c r="D147" s="374"/>
      <c r="E147" s="374"/>
      <c r="F147" s="374"/>
      <c r="G147" s="374"/>
      <c r="H147" s="374"/>
      <c r="I147" s="374"/>
      <c r="J147" s="374"/>
      <c r="K147" s="306"/>
    </row>
    <row r="148" spans="2:11" s="126" customFormat="1" ht="17.25" customHeight="1" x14ac:dyDescent="0.2">
      <c r="B148" s="305"/>
      <c r="C148" s="307" t="s">
        <v>1065</v>
      </c>
      <c r="D148" s="307"/>
      <c r="E148" s="307"/>
      <c r="F148" s="307" t="s">
        <v>1066</v>
      </c>
      <c r="G148" s="308"/>
      <c r="H148" s="307" t="s">
        <v>24</v>
      </c>
      <c r="I148" s="307" t="s">
        <v>521</v>
      </c>
      <c r="J148" s="307" t="s">
        <v>1067</v>
      </c>
      <c r="K148" s="306"/>
    </row>
    <row r="149" spans="2:11" s="126" customFormat="1" ht="17.25" customHeight="1" x14ac:dyDescent="0.2">
      <c r="B149" s="305"/>
      <c r="C149" s="309" t="s">
        <v>1068</v>
      </c>
      <c r="D149" s="309"/>
      <c r="E149" s="309"/>
      <c r="F149" s="310" t="s">
        <v>1069</v>
      </c>
      <c r="G149" s="311"/>
      <c r="H149" s="309"/>
      <c r="I149" s="309"/>
      <c r="J149" s="309" t="s">
        <v>1070</v>
      </c>
      <c r="K149" s="306"/>
    </row>
    <row r="150" spans="2:11" s="126" customFormat="1" ht="5.25" customHeight="1" x14ac:dyDescent="0.2">
      <c r="B150" s="314"/>
      <c r="C150" s="312"/>
      <c r="D150" s="312"/>
      <c r="E150" s="312"/>
      <c r="F150" s="312"/>
      <c r="G150" s="313"/>
      <c r="H150" s="312"/>
      <c r="I150" s="312"/>
      <c r="J150" s="312"/>
      <c r="K150" s="333"/>
    </row>
    <row r="151" spans="2:11" s="126" customFormat="1" ht="15" customHeight="1" x14ac:dyDescent="0.2">
      <c r="B151" s="314"/>
      <c r="C151" s="270" t="s">
        <v>1073</v>
      </c>
      <c r="D151" s="265"/>
      <c r="E151" s="265"/>
      <c r="F151" s="271" t="s">
        <v>191</v>
      </c>
      <c r="G151" s="265"/>
      <c r="H151" s="270" t="s">
        <v>1109</v>
      </c>
      <c r="I151" s="270" t="s">
        <v>1072</v>
      </c>
      <c r="J151" s="270">
        <v>120</v>
      </c>
      <c r="K151" s="333"/>
    </row>
    <row r="152" spans="2:11" s="126" customFormat="1" ht="15" customHeight="1" x14ac:dyDescent="0.2">
      <c r="B152" s="314"/>
      <c r="C152" s="270" t="s">
        <v>1118</v>
      </c>
      <c r="D152" s="265"/>
      <c r="E152" s="265"/>
      <c r="F152" s="271" t="s">
        <v>191</v>
      </c>
      <c r="G152" s="265"/>
      <c r="H152" s="270" t="s">
        <v>1129</v>
      </c>
      <c r="I152" s="270" t="s">
        <v>1072</v>
      </c>
      <c r="J152" s="270" t="s">
        <v>1120</v>
      </c>
      <c r="K152" s="333"/>
    </row>
    <row r="153" spans="2:11" s="126" customFormat="1" ht="15" customHeight="1" x14ac:dyDescent="0.2">
      <c r="B153" s="314"/>
      <c r="C153" s="270" t="s">
        <v>525</v>
      </c>
      <c r="D153" s="265"/>
      <c r="E153" s="265"/>
      <c r="F153" s="271" t="s">
        <v>191</v>
      </c>
      <c r="G153" s="265"/>
      <c r="H153" s="270" t="s">
        <v>1130</v>
      </c>
      <c r="I153" s="270" t="s">
        <v>1072</v>
      </c>
      <c r="J153" s="270" t="s">
        <v>1120</v>
      </c>
      <c r="K153" s="333"/>
    </row>
    <row r="154" spans="2:11" s="126" customFormat="1" ht="15" customHeight="1" x14ac:dyDescent="0.2">
      <c r="B154" s="314"/>
      <c r="C154" s="270" t="s">
        <v>1075</v>
      </c>
      <c r="D154" s="265"/>
      <c r="E154" s="265"/>
      <c r="F154" s="271" t="s">
        <v>1076</v>
      </c>
      <c r="G154" s="265"/>
      <c r="H154" s="270" t="s">
        <v>1109</v>
      </c>
      <c r="I154" s="270" t="s">
        <v>1072</v>
      </c>
      <c r="J154" s="270">
        <v>50</v>
      </c>
      <c r="K154" s="333"/>
    </row>
    <row r="155" spans="2:11" s="126" customFormat="1" ht="15" customHeight="1" x14ac:dyDescent="0.2">
      <c r="B155" s="314"/>
      <c r="C155" s="270" t="s">
        <v>1078</v>
      </c>
      <c r="D155" s="265"/>
      <c r="E155" s="265"/>
      <c r="F155" s="271" t="s">
        <v>191</v>
      </c>
      <c r="G155" s="265"/>
      <c r="H155" s="270" t="s">
        <v>1109</v>
      </c>
      <c r="I155" s="270" t="s">
        <v>1080</v>
      </c>
      <c r="J155" s="270"/>
      <c r="K155" s="333"/>
    </row>
    <row r="156" spans="2:11" s="126" customFormat="1" ht="15" customHeight="1" x14ac:dyDescent="0.2">
      <c r="B156" s="314"/>
      <c r="C156" s="270" t="s">
        <v>1089</v>
      </c>
      <c r="D156" s="265"/>
      <c r="E156" s="265"/>
      <c r="F156" s="271" t="s">
        <v>1076</v>
      </c>
      <c r="G156" s="265"/>
      <c r="H156" s="270" t="s">
        <v>1109</v>
      </c>
      <c r="I156" s="270" t="s">
        <v>1072</v>
      </c>
      <c r="J156" s="270">
        <v>50</v>
      </c>
      <c r="K156" s="333"/>
    </row>
    <row r="157" spans="2:11" s="126" customFormat="1" ht="15" customHeight="1" x14ac:dyDescent="0.2">
      <c r="B157" s="314"/>
      <c r="C157" s="270" t="s">
        <v>210</v>
      </c>
      <c r="D157" s="265"/>
      <c r="E157" s="265"/>
      <c r="F157" s="271" t="s">
        <v>1076</v>
      </c>
      <c r="G157" s="265"/>
      <c r="H157" s="270" t="s">
        <v>1109</v>
      </c>
      <c r="I157" s="270" t="s">
        <v>1072</v>
      </c>
      <c r="J157" s="270">
        <v>50</v>
      </c>
      <c r="K157" s="333"/>
    </row>
    <row r="158" spans="2:11" s="126" customFormat="1" ht="15" customHeight="1" x14ac:dyDescent="0.2">
      <c r="B158" s="314"/>
      <c r="C158" s="270" t="s">
        <v>1095</v>
      </c>
      <c r="D158" s="265"/>
      <c r="E158" s="265"/>
      <c r="F158" s="271" t="s">
        <v>1076</v>
      </c>
      <c r="G158" s="265"/>
      <c r="H158" s="270" t="s">
        <v>1109</v>
      </c>
      <c r="I158" s="270" t="s">
        <v>1072</v>
      </c>
      <c r="J158" s="270">
        <v>50</v>
      </c>
      <c r="K158" s="333"/>
    </row>
    <row r="159" spans="2:11" s="126" customFormat="1" ht="15" customHeight="1" x14ac:dyDescent="0.2">
      <c r="B159" s="314"/>
      <c r="C159" s="270" t="s">
        <v>535</v>
      </c>
      <c r="D159" s="265"/>
      <c r="E159" s="265"/>
      <c r="F159" s="271" t="s">
        <v>191</v>
      </c>
      <c r="G159" s="265"/>
      <c r="H159" s="270" t="s">
        <v>1131</v>
      </c>
      <c r="I159" s="270" t="s">
        <v>1072</v>
      </c>
      <c r="J159" s="270" t="s">
        <v>1132</v>
      </c>
      <c r="K159" s="333"/>
    </row>
    <row r="160" spans="2:11" s="126" customFormat="1" ht="15" customHeight="1" x14ac:dyDescent="0.2">
      <c r="B160" s="314"/>
      <c r="C160" s="270" t="s">
        <v>1133</v>
      </c>
      <c r="D160" s="265"/>
      <c r="E160" s="265"/>
      <c r="F160" s="271" t="s">
        <v>191</v>
      </c>
      <c r="G160" s="265"/>
      <c r="H160" s="270" t="s">
        <v>1134</v>
      </c>
      <c r="I160" s="270" t="s">
        <v>1104</v>
      </c>
      <c r="J160" s="270"/>
      <c r="K160" s="333"/>
    </row>
    <row r="161" spans="2:11" s="126" customFormat="1" ht="15" customHeight="1" x14ac:dyDescent="0.2">
      <c r="B161" s="337"/>
      <c r="C161" s="320"/>
      <c r="D161" s="320"/>
      <c r="E161" s="320"/>
      <c r="F161" s="320"/>
      <c r="G161" s="320"/>
      <c r="H161" s="320"/>
      <c r="I161" s="320"/>
      <c r="J161" s="320"/>
      <c r="K161" s="338"/>
    </row>
    <row r="162" spans="2:11" s="126" customFormat="1" ht="18.75" customHeight="1" x14ac:dyDescent="0.2">
      <c r="B162" s="322"/>
      <c r="C162" s="313"/>
      <c r="D162" s="313"/>
      <c r="E162" s="313"/>
      <c r="F162" s="339"/>
      <c r="G162" s="313"/>
      <c r="H162" s="313"/>
      <c r="I162" s="313"/>
      <c r="J162" s="313"/>
      <c r="K162" s="322"/>
    </row>
    <row r="163" spans="2:11" s="126" customFormat="1" ht="18.75" customHeight="1" x14ac:dyDescent="0.2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26" customFormat="1" ht="7.5" customHeight="1" x14ac:dyDescent="0.2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pans="2:11" s="126" customFormat="1" ht="45" customHeight="1" x14ac:dyDescent="0.2">
      <c r="B165" s="292"/>
      <c r="C165" s="371" t="s">
        <v>1135</v>
      </c>
      <c r="D165" s="371"/>
      <c r="E165" s="371"/>
      <c r="F165" s="371"/>
      <c r="G165" s="371"/>
      <c r="H165" s="371"/>
      <c r="I165" s="371"/>
      <c r="J165" s="371"/>
      <c r="K165" s="293"/>
    </row>
    <row r="166" spans="2:11" s="126" customFormat="1" ht="17.25" customHeight="1" x14ac:dyDescent="0.2">
      <c r="B166" s="292"/>
      <c r="C166" s="307" t="s">
        <v>1065</v>
      </c>
      <c r="D166" s="307"/>
      <c r="E166" s="307"/>
      <c r="F166" s="307" t="s">
        <v>1066</v>
      </c>
      <c r="G166" s="340"/>
      <c r="H166" s="341" t="s">
        <v>24</v>
      </c>
      <c r="I166" s="341" t="s">
        <v>521</v>
      </c>
      <c r="J166" s="307" t="s">
        <v>1067</v>
      </c>
      <c r="K166" s="293"/>
    </row>
    <row r="167" spans="2:11" s="126" customFormat="1" ht="17.25" customHeight="1" x14ac:dyDescent="0.2">
      <c r="B167" s="294"/>
      <c r="C167" s="309" t="s">
        <v>1068</v>
      </c>
      <c r="D167" s="309"/>
      <c r="E167" s="309"/>
      <c r="F167" s="310" t="s">
        <v>1069</v>
      </c>
      <c r="G167" s="342"/>
      <c r="H167" s="343"/>
      <c r="I167" s="343"/>
      <c r="J167" s="309" t="s">
        <v>1070</v>
      </c>
      <c r="K167" s="295"/>
    </row>
    <row r="168" spans="2:11" s="126" customFormat="1" ht="5.25" customHeight="1" x14ac:dyDescent="0.2">
      <c r="B168" s="314"/>
      <c r="C168" s="312"/>
      <c r="D168" s="312"/>
      <c r="E168" s="312"/>
      <c r="F168" s="312"/>
      <c r="G168" s="313"/>
      <c r="H168" s="312"/>
      <c r="I168" s="312"/>
      <c r="J168" s="312"/>
      <c r="K168" s="333"/>
    </row>
    <row r="169" spans="2:11" s="126" customFormat="1" ht="15" customHeight="1" x14ac:dyDescent="0.2">
      <c r="B169" s="314"/>
      <c r="C169" s="265" t="s">
        <v>1073</v>
      </c>
      <c r="D169" s="265"/>
      <c r="E169" s="265"/>
      <c r="F169" s="269" t="s">
        <v>191</v>
      </c>
      <c r="G169" s="265"/>
      <c r="H169" s="265" t="s">
        <v>1109</v>
      </c>
      <c r="I169" s="265" t="s">
        <v>1072</v>
      </c>
      <c r="J169" s="265">
        <v>120</v>
      </c>
      <c r="K169" s="333"/>
    </row>
    <row r="170" spans="2:11" s="126" customFormat="1" ht="15" customHeight="1" x14ac:dyDescent="0.2">
      <c r="B170" s="314"/>
      <c r="C170" s="265" t="s">
        <v>1118</v>
      </c>
      <c r="D170" s="265"/>
      <c r="E170" s="265"/>
      <c r="F170" s="269" t="s">
        <v>191</v>
      </c>
      <c r="G170" s="265"/>
      <c r="H170" s="265" t="s">
        <v>1119</v>
      </c>
      <c r="I170" s="265" t="s">
        <v>1072</v>
      </c>
      <c r="J170" s="265" t="s">
        <v>1120</v>
      </c>
      <c r="K170" s="333"/>
    </row>
    <row r="171" spans="2:11" s="126" customFormat="1" ht="15" customHeight="1" x14ac:dyDescent="0.2">
      <c r="B171" s="314"/>
      <c r="C171" s="265" t="s">
        <v>525</v>
      </c>
      <c r="D171" s="265"/>
      <c r="E171" s="265"/>
      <c r="F171" s="269" t="s">
        <v>191</v>
      </c>
      <c r="G171" s="265"/>
      <c r="H171" s="265" t="s">
        <v>1136</v>
      </c>
      <c r="I171" s="265" t="s">
        <v>1072</v>
      </c>
      <c r="J171" s="265" t="s">
        <v>1120</v>
      </c>
      <c r="K171" s="333"/>
    </row>
    <row r="172" spans="2:11" s="126" customFormat="1" ht="15" customHeight="1" x14ac:dyDescent="0.2">
      <c r="B172" s="314"/>
      <c r="C172" s="265" t="s">
        <v>1075</v>
      </c>
      <c r="D172" s="265"/>
      <c r="E172" s="265"/>
      <c r="F172" s="269" t="s">
        <v>1076</v>
      </c>
      <c r="G172" s="265"/>
      <c r="H172" s="265" t="s">
        <v>1136</v>
      </c>
      <c r="I172" s="265" t="s">
        <v>1072</v>
      </c>
      <c r="J172" s="265">
        <v>50</v>
      </c>
      <c r="K172" s="333"/>
    </row>
    <row r="173" spans="2:11" s="126" customFormat="1" ht="15" customHeight="1" x14ac:dyDescent="0.2">
      <c r="B173" s="314"/>
      <c r="C173" s="265" t="s">
        <v>1078</v>
      </c>
      <c r="D173" s="265"/>
      <c r="E173" s="265"/>
      <c r="F173" s="269" t="s">
        <v>191</v>
      </c>
      <c r="G173" s="265"/>
      <c r="H173" s="265" t="s">
        <v>1136</v>
      </c>
      <c r="I173" s="265" t="s">
        <v>1080</v>
      </c>
      <c r="J173" s="265"/>
      <c r="K173" s="333"/>
    </row>
    <row r="174" spans="2:11" s="126" customFormat="1" ht="15" customHeight="1" x14ac:dyDescent="0.2">
      <c r="B174" s="314"/>
      <c r="C174" s="265" t="s">
        <v>1089</v>
      </c>
      <c r="D174" s="265"/>
      <c r="E174" s="265"/>
      <c r="F174" s="269" t="s">
        <v>1076</v>
      </c>
      <c r="G174" s="265"/>
      <c r="H174" s="265" t="s">
        <v>1136</v>
      </c>
      <c r="I174" s="265" t="s">
        <v>1072</v>
      </c>
      <c r="J174" s="265">
        <v>50</v>
      </c>
      <c r="K174" s="333"/>
    </row>
    <row r="175" spans="2:11" s="126" customFormat="1" ht="15" customHeight="1" x14ac:dyDescent="0.2">
      <c r="B175" s="314"/>
      <c r="C175" s="265" t="s">
        <v>210</v>
      </c>
      <c r="D175" s="265"/>
      <c r="E175" s="265"/>
      <c r="F175" s="269" t="s">
        <v>1076</v>
      </c>
      <c r="G175" s="265"/>
      <c r="H175" s="265" t="s">
        <v>1136</v>
      </c>
      <c r="I175" s="265" t="s">
        <v>1072</v>
      </c>
      <c r="J175" s="265">
        <v>50</v>
      </c>
      <c r="K175" s="333"/>
    </row>
    <row r="176" spans="2:11" s="126" customFormat="1" ht="15" customHeight="1" x14ac:dyDescent="0.2">
      <c r="B176" s="314"/>
      <c r="C176" s="265" t="s">
        <v>1095</v>
      </c>
      <c r="D176" s="265"/>
      <c r="E176" s="265"/>
      <c r="F176" s="269" t="s">
        <v>1076</v>
      </c>
      <c r="G176" s="265"/>
      <c r="H176" s="265" t="s">
        <v>1136</v>
      </c>
      <c r="I176" s="265" t="s">
        <v>1072</v>
      </c>
      <c r="J176" s="265">
        <v>50</v>
      </c>
      <c r="K176" s="333"/>
    </row>
    <row r="177" spans="2:11" s="126" customFormat="1" ht="15" customHeight="1" x14ac:dyDescent="0.2">
      <c r="B177" s="314"/>
      <c r="C177" s="265" t="s">
        <v>547</v>
      </c>
      <c r="D177" s="265"/>
      <c r="E177" s="265"/>
      <c r="F177" s="269" t="s">
        <v>191</v>
      </c>
      <c r="G177" s="265"/>
      <c r="H177" s="265" t="s">
        <v>1137</v>
      </c>
      <c r="I177" s="265" t="s">
        <v>1138</v>
      </c>
      <c r="J177" s="265"/>
      <c r="K177" s="333"/>
    </row>
    <row r="178" spans="2:11" s="126" customFormat="1" ht="15" customHeight="1" x14ac:dyDescent="0.2">
      <c r="B178" s="314"/>
      <c r="C178" s="265" t="s">
        <v>521</v>
      </c>
      <c r="D178" s="265"/>
      <c r="E178" s="265"/>
      <c r="F178" s="269" t="s">
        <v>191</v>
      </c>
      <c r="G178" s="265"/>
      <c r="H178" s="265" t="s">
        <v>1139</v>
      </c>
      <c r="I178" s="265" t="s">
        <v>1140</v>
      </c>
      <c r="J178" s="265">
        <v>1</v>
      </c>
      <c r="K178" s="333"/>
    </row>
    <row r="179" spans="2:11" s="126" customFormat="1" ht="15" customHeight="1" x14ac:dyDescent="0.2">
      <c r="B179" s="314"/>
      <c r="C179" s="265" t="s">
        <v>23</v>
      </c>
      <c r="D179" s="265"/>
      <c r="E179" s="265"/>
      <c r="F179" s="269" t="s">
        <v>191</v>
      </c>
      <c r="G179" s="265"/>
      <c r="H179" s="265" t="s">
        <v>1141</v>
      </c>
      <c r="I179" s="265" t="s">
        <v>1072</v>
      </c>
      <c r="J179" s="265">
        <v>20</v>
      </c>
      <c r="K179" s="333"/>
    </row>
    <row r="180" spans="2:11" s="126" customFormat="1" ht="15" customHeight="1" x14ac:dyDescent="0.2">
      <c r="B180" s="314"/>
      <c r="C180" s="265" t="s">
        <v>24</v>
      </c>
      <c r="D180" s="265"/>
      <c r="E180" s="265"/>
      <c r="F180" s="269" t="s">
        <v>191</v>
      </c>
      <c r="G180" s="265"/>
      <c r="H180" s="265" t="s">
        <v>1142</v>
      </c>
      <c r="I180" s="265" t="s">
        <v>1072</v>
      </c>
      <c r="J180" s="265">
        <v>255</v>
      </c>
      <c r="K180" s="333"/>
    </row>
    <row r="181" spans="2:11" s="126" customFormat="1" ht="15" customHeight="1" x14ac:dyDescent="0.2">
      <c r="B181" s="314"/>
      <c r="C181" s="265" t="s">
        <v>25</v>
      </c>
      <c r="D181" s="265"/>
      <c r="E181" s="265"/>
      <c r="F181" s="269" t="s">
        <v>191</v>
      </c>
      <c r="G181" s="265"/>
      <c r="H181" s="265" t="s">
        <v>1035</v>
      </c>
      <c r="I181" s="265" t="s">
        <v>1072</v>
      </c>
      <c r="J181" s="265">
        <v>10</v>
      </c>
      <c r="K181" s="333"/>
    </row>
    <row r="182" spans="2:11" s="126" customFormat="1" ht="15" customHeight="1" x14ac:dyDescent="0.2">
      <c r="B182" s="314"/>
      <c r="C182" s="265" t="s">
        <v>227</v>
      </c>
      <c r="D182" s="265"/>
      <c r="E182" s="265"/>
      <c r="F182" s="269" t="s">
        <v>191</v>
      </c>
      <c r="G182" s="265"/>
      <c r="H182" s="265" t="s">
        <v>1143</v>
      </c>
      <c r="I182" s="265" t="s">
        <v>1104</v>
      </c>
      <c r="J182" s="265"/>
      <c r="K182" s="333"/>
    </row>
    <row r="183" spans="2:11" s="126" customFormat="1" ht="15" customHeight="1" x14ac:dyDescent="0.2">
      <c r="B183" s="314"/>
      <c r="C183" s="265" t="s">
        <v>1144</v>
      </c>
      <c r="D183" s="265"/>
      <c r="E183" s="265"/>
      <c r="F183" s="269" t="s">
        <v>191</v>
      </c>
      <c r="G183" s="265"/>
      <c r="H183" s="265" t="s">
        <v>1145</v>
      </c>
      <c r="I183" s="265" t="s">
        <v>1104</v>
      </c>
      <c r="J183" s="265"/>
      <c r="K183" s="333"/>
    </row>
    <row r="184" spans="2:11" s="126" customFormat="1" ht="15" customHeight="1" x14ac:dyDescent="0.2">
      <c r="B184" s="314"/>
      <c r="C184" s="265" t="s">
        <v>1133</v>
      </c>
      <c r="D184" s="265"/>
      <c r="E184" s="265"/>
      <c r="F184" s="269" t="s">
        <v>191</v>
      </c>
      <c r="G184" s="265"/>
      <c r="H184" s="265" t="s">
        <v>1146</v>
      </c>
      <c r="I184" s="265" t="s">
        <v>1104</v>
      </c>
      <c r="J184" s="265"/>
      <c r="K184" s="333"/>
    </row>
    <row r="185" spans="2:11" s="126" customFormat="1" ht="15" customHeight="1" x14ac:dyDescent="0.2">
      <c r="B185" s="314"/>
      <c r="C185" s="265" t="s">
        <v>549</v>
      </c>
      <c r="D185" s="265"/>
      <c r="E185" s="265"/>
      <c r="F185" s="269" t="s">
        <v>1076</v>
      </c>
      <c r="G185" s="265"/>
      <c r="H185" s="265" t="s">
        <v>1147</v>
      </c>
      <c r="I185" s="265" t="s">
        <v>1072</v>
      </c>
      <c r="J185" s="265">
        <v>50</v>
      </c>
      <c r="K185" s="333"/>
    </row>
    <row r="186" spans="2:11" s="126" customFormat="1" ht="15" customHeight="1" x14ac:dyDescent="0.2">
      <c r="B186" s="314"/>
      <c r="C186" s="265" t="s">
        <v>1148</v>
      </c>
      <c r="D186" s="265"/>
      <c r="E186" s="265"/>
      <c r="F186" s="269" t="s">
        <v>1076</v>
      </c>
      <c r="G186" s="265"/>
      <c r="H186" s="265" t="s">
        <v>1149</v>
      </c>
      <c r="I186" s="265" t="s">
        <v>1150</v>
      </c>
      <c r="J186" s="265"/>
      <c r="K186" s="333"/>
    </row>
    <row r="187" spans="2:11" s="126" customFormat="1" ht="15" customHeight="1" x14ac:dyDescent="0.2">
      <c r="B187" s="314"/>
      <c r="C187" s="265" t="s">
        <v>1151</v>
      </c>
      <c r="D187" s="265"/>
      <c r="E187" s="265"/>
      <c r="F187" s="269" t="s">
        <v>1076</v>
      </c>
      <c r="G187" s="265"/>
      <c r="H187" s="265" t="s">
        <v>1152</v>
      </c>
      <c r="I187" s="265" t="s">
        <v>1150</v>
      </c>
      <c r="J187" s="265"/>
      <c r="K187" s="333"/>
    </row>
    <row r="188" spans="2:11" s="126" customFormat="1" ht="15" customHeight="1" x14ac:dyDescent="0.2">
      <c r="B188" s="314"/>
      <c r="C188" s="265" t="s">
        <v>1153</v>
      </c>
      <c r="D188" s="265"/>
      <c r="E188" s="265"/>
      <c r="F188" s="269" t="s">
        <v>1076</v>
      </c>
      <c r="G188" s="265"/>
      <c r="H188" s="265" t="s">
        <v>1154</v>
      </c>
      <c r="I188" s="265" t="s">
        <v>1150</v>
      </c>
      <c r="J188" s="265"/>
      <c r="K188" s="333"/>
    </row>
    <row r="189" spans="2:11" s="126" customFormat="1" ht="15" customHeight="1" x14ac:dyDescent="0.2">
      <c r="B189" s="314"/>
      <c r="C189" s="272" t="s">
        <v>1155</v>
      </c>
      <c r="D189" s="265"/>
      <c r="E189" s="265"/>
      <c r="F189" s="269" t="s">
        <v>1076</v>
      </c>
      <c r="G189" s="265"/>
      <c r="H189" s="265" t="s">
        <v>1156</v>
      </c>
      <c r="I189" s="265" t="s">
        <v>1157</v>
      </c>
      <c r="J189" s="273" t="s">
        <v>1158</v>
      </c>
      <c r="K189" s="333"/>
    </row>
    <row r="190" spans="2:11" s="126" customFormat="1" ht="15" customHeight="1" x14ac:dyDescent="0.2">
      <c r="B190" s="314"/>
      <c r="C190" s="272" t="s">
        <v>1192</v>
      </c>
      <c r="D190" s="265"/>
      <c r="E190" s="265"/>
      <c r="F190" s="269" t="s">
        <v>1076</v>
      </c>
      <c r="G190" s="265"/>
      <c r="H190" s="265" t="s">
        <v>1193</v>
      </c>
      <c r="I190" s="265" t="s">
        <v>1157</v>
      </c>
      <c r="J190" s="273" t="s">
        <v>1158</v>
      </c>
      <c r="K190" s="333"/>
    </row>
    <row r="191" spans="2:11" s="126" customFormat="1" ht="15" customHeight="1" x14ac:dyDescent="0.2">
      <c r="B191" s="314"/>
      <c r="C191" s="272" t="s">
        <v>512</v>
      </c>
      <c r="D191" s="265"/>
      <c r="E191" s="265"/>
      <c r="F191" s="269" t="s">
        <v>191</v>
      </c>
      <c r="G191" s="265"/>
      <c r="H191" s="263" t="s">
        <v>1159</v>
      </c>
      <c r="I191" s="265" t="s">
        <v>1160</v>
      </c>
      <c r="J191" s="265"/>
      <c r="K191" s="333"/>
    </row>
    <row r="192" spans="2:11" s="126" customFormat="1" ht="15" customHeight="1" x14ac:dyDescent="0.2">
      <c r="B192" s="314"/>
      <c r="C192" s="272" t="s">
        <v>1161</v>
      </c>
      <c r="D192" s="265"/>
      <c r="E192" s="265"/>
      <c r="F192" s="269" t="s">
        <v>191</v>
      </c>
      <c r="G192" s="265"/>
      <c r="H192" s="265" t="s">
        <v>1162</v>
      </c>
      <c r="I192" s="265" t="s">
        <v>1104</v>
      </c>
      <c r="J192" s="265"/>
      <c r="K192" s="333"/>
    </row>
    <row r="193" spans="2:11" s="126" customFormat="1" ht="15" customHeight="1" x14ac:dyDescent="0.2">
      <c r="B193" s="314"/>
      <c r="C193" s="272" t="s">
        <v>1163</v>
      </c>
      <c r="D193" s="265"/>
      <c r="E193" s="265"/>
      <c r="F193" s="269" t="s">
        <v>191</v>
      </c>
      <c r="G193" s="265"/>
      <c r="H193" s="265" t="s">
        <v>1164</v>
      </c>
      <c r="I193" s="265" t="s">
        <v>1104</v>
      </c>
      <c r="J193" s="265"/>
      <c r="K193" s="333"/>
    </row>
    <row r="194" spans="2:11" s="126" customFormat="1" ht="15" customHeight="1" x14ac:dyDescent="0.2">
      <c r="B194" s="314"/>
      <c r="C194" s="272" t="s">
        <v>1165</v>
      </c>
      <c r="D194" s="265"/>
      <c r="E194" s="265"/>
      <c r="F194" s="269" t="s">
        <v>1076</v>
      </c>
      <c r="G194" s="265"/>
      <c r="H194" s="265" t="s">
        <v>1166</v>
      </c>
      <c r="I194" s="265" t="s">
        <v>1104</v>
      </c>
      <c r="J194" s="265"/>
      <c r="K194" s="333"/>
    </row>
    <row r="195" spans="2:11" s="126" customFormat="1" ht="15" customHeight="1" x14ac:dyDescent="0.2">
      <c r="B195" s="337"/>
      <c r="C195" s="274"/>
      <c r="D195" s="320"/>
      <c r="E195" s="320"/>
      <c r="F195" s="320"/>
      <c r="G195" s="320"/>
      <c r="H195" s="320"/>
      <c r="I195" s="320"/>
      <c r="J195" s="320"/>
      <c r="K195" s="338"/>
    </row>
    <row r="196" spans="2:11" s="126" customFormat="1" ht="18.75" customHeight="1" x14ac:dyDescent="0.2">
      <c r="B196" s="322"/>
      <c r="C196" s="313"/>
      <c r="D196" s="313"/>
      <c r="E196" s="313"/>
      <c r="F196" s="339"/>
      <c r="G196" s="313"/>
      <c r="H196" s="313"/>
      <c r="I196" s="313"/>
      <c r="J196" s="313"/>
      <c r="K196" s="322"/>
    </row>
    <row r="197" spans="2:11" s="126" customFormat="1" ht="18.75" customHeight="1" x14ac:dyDescent="0.2">
      <c r="B197" s="322"/>
      <c r="C197" s="313"/>
      <c r="D197" s="313"/>
      <c r="E197" s="313"/>
      <c r="F197" s="339"/>
      <c r="G197" s="313"/>
      <c r="H197" s="313"/>
      <c r="I197" s="313"/>
      <c r="J197" s="313"/>
      <c r="K197" s="322"/>
    </row>
    <row r="198" spans="2:11" s="126" customFormat="1" ht="18.75" customHeight="1" x14ac:dyDescent="0.2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26" customFormat="1" ht="13.5" x14ac:dyDescent="0.2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pans="2:11" s="126" customFormat="1" ht="21" x14ac:dyDescent="0.2">
      <c r="B200" s="292"/>
      <c r="C200" s="371" t="s">
        <v>1167</v>
      </c>
      <c r="D200" s="371"/>
      <c r="E200" s="371"/>
      <c r="F200" s="371"/>
      <c r="G200" s="371"/>
      <c r="H200" s="371"/>
      <c r="I200" s="371"/>
      <c r="J200" s="371"/>
      <c r="K200" s="293"/>
    </row>
    <row r="201" spans="2:11" s="126" customFormat="1" ht="25.5" customHeight="1" x14ac:dyDescent="0.3">
      <c r="B201" s="292"/>
      <c r="C201" s="344" t="s">
        <v>1168</v>
      </c>
      <c r="D201" s="344"/>
      <c r="E201" s="344"/>
      <c r="F201" s="344" t="s">
        <v>1169</v>
      </c>
      <c r="G201" s="345"/>
      <c r="H201" s="372" t="s">
        <v>1170</v>
      </c>
      <c r="I201" s="372"/>
      <c r="J201" s="372"/>
      <c r="K201" s="293"/>
    </row>
    <row r="202" spans="2:11" s="126" customFormat="1" ht="5.25" customHeight="1" x14ac:dyDescent="0.2">
      <c r="B202" s="314"/>
      <c r="C202" s="312"/>
      <c r="D202" s="312"/>
      <c r="E202" s="312"/>
      <c r="F202" s="312"/>
      <c r="G202" s="313"/>
      <c r="H202" s="312"/>
      <c r="I202" s="312"/>
      <c r="J202" s="312"/>
      <c r="K202" s="333"/>
    </row>
    <row r="203" spans="2:11" s="126" customFormat="1" ht="15" customHeight="1" x14ac:dyDescent="0.2">
      <c r="B203" s="314"/>
      <c r="C203" s="265" t="s">
        <v>1160</v>
      </c>
      <c r="D203" s="265"/>
      <c r="E203" s="265"/>
      <c r="F203" s="269" t="s">
        <v>513</v>
      </c>
      <c r="G203" s="265"/>
      <c r="H203" s="373" t="s">
        <v>1171</v>
      </c>
      <c r="I203" s="373"/>
      <c r="J203" s="373"/>
      <c r="K203" s="333"/>
    </row>
    <row r="204" spans="2:11" s="126" customFormat="1" ht="15" customHeight="1" x14ac:dyDescent="0.2">
      <c r="B204" s="314"/>
      <c r="C204" s="265"/>
      <c r="D204" s="265"/>
      <c r="E204" s="265"/>
      <c r="F204" s="269" t="s">
        <v>514</v>
      </c>
      <c r="G204" s="265"/>
      <c r="H204" s="373" t="s">
        <v>1172</v>
      </c>
      <c r="I204" s="373"/>
      <c r="J204" s="373"/>
      <c r="K204" s="333"/>
    </row>
    <row r="205" spans="2:11" s="126" customFormat="1" ht="15" customHeight="1" x14ac:dyDescent="0.2">
      <c r="B205" s="314"/>
      <c r="C205" s="265"/>
      <c r="D205" s="265"/>
      <c r="E205" s="265"/>
      <c r="F205" s="269" t="s">
        <v>517</v>
      </c>
      <c r="G205" s="265"/>
      <c r="H205" s="373" t="s">
        <v>1173</v>
      </c>
      <c r="I205" s="373"/>
      <c r="J205" s="373"/>
      <c r="K205" s="333"/>
    </row>
    <row r="206" spans="2:11" s="126" customFormat="1" ht="15" customHeight="1" x14ac:dyDescent="0.2">
      <c r="B206" s="314"/>
      <c r="C206" s="265"/>
      <c r="D206" s="265"/>
      <c r="E206" s="265"/>
      <c r="F206" s="269" t="s">
        <v>515</v>
      </c>
      <c r="G206" s="265"/>
      <c r="H206" s="373" t="s">
        <v>1174</v>
      </c>
      <c r="I206" s="373"/>
      <c r="J206" s="373"/>
      <c r="K206" s="333"/>
    </row>
    <row r="207" spans="2:11" s="126" customFormat="1" ht="15" customHeight="1" x14ac:dyDescent="0.2">
      <c r="B207" s="314"/>
      <c r="C207" s="265"/>
      <c r="D207" s="265"/>
      <c r="E207" s="265"/>
      <c r="F207" s="269" t="s">
        <v>516</v>
      </c>
      <c r="G207" s="265"/>
      <c r="H207" s="373" t="s">
        <v>1175</v>
      </c>
      <c r="I207" s="373"/>
      <c r="J207" s="373"/>
      <c r="K207" s="333"/>
    </row>
    <row r="208" spans="2:11" s="126" customFormat="1" ht="15" customHeight="1" x14ac:dyDescent="0.2">
      <c r="B208" s="314"/>
      <c r="C208" s="265"/>
      <c r="D208" s="265"/>
      <c r="E208" s="265"/>
      <c r="F208" s="269"/>
      <c r="G208" s="265"/>
      <c r="H208" s="265"/>
      <c r="I208" s="265"/>
      <c r="J208" s="265"/>
      <c r="K208" s="333"/>
    </row>
    <row r="209" spans="2:11" s="126" customFormat="1" ht="15" customHeight="1" x14ac:dyDescent="0.2">
      <c r="B209" s="314"/>
      <c r="C209" s="265" t="s">
        <v>1116</v>
      </c>
      <c r="D209" s="265"/>
      <c r="E209" s="265"/>
      <c r="F209" s="269" t="s">
        <v>524</v>
      </c>
      <c r="G209" s="265"/>
      <c r="H209" s="373" t="s">
        <v>1176</v>
      </c>
      <c r="I209" s="373"/>
      <c r="J209" s="373"/>
      <c r="K209" s="333"/>
    </row>
    <row r="210" spans="2:11" s="126" customFormat="1" ht="15" customHeight="1" x14ac:dyDescent="0.2">
      <c r="B210" s="314"/>
      <c r="C210" s="265"/>
      <c r="D210" s="265"/>
      <c r="E210" s="265"/>
      <c r="F210" s="269" t="s">
        <v>1016</v>
      </c>
      <c r="G210" s="265"/>
      <c r="H210" s="373" t="s">
        <v>1017</v>
      </c>
      <c r="I210" s="373"/>
      <c r="J210" s="373"/>
      <c r="K210" s="333"/>
    </row>
    <row r="211" spans="2:11" s="126" customFormat="1" ht="15" customHeight="1" x14ac:dyDescent="0.2">
      <c r="B211" s="314"/>
      <c r="C211" s="265"/>
      <c r="D211" s="265"/>
      <c r="E211" s="265"/>
      <c r="F211" s="269" t="s">
        <v>1014</v>
      </c>
      <c r="G211" s="265"/>
      <c r="H211" s="373" t="s">
        <v>1177</v>
      </c>
      <c r="I211" s="373"/>
      <c r="J211" s="373"/>
      <c r="K211" s="333"/>
    </row>
    <row r="212" spans="2:11" s="126" customFormat="1" ht="15" customHeight="1" x14ac:dyDescent="0.2">
      <c r="B212" s="346"/>
      <c r="C212" s="265"/>
      <c r="D212" s="265"/>
      <c r="E212" s="265"/>
      <c r="F212" s="269" t="s">
        <v>1018</v>
      </c>
      <c r="G212" s="272"/>
      <c r="H212" s="370" t="s">
        <v>1019</v>
      </c>
      <c r="I212" s="370"/>
      <c r="J212" s="370"/>
      <c r="K212" s="347"/>
    </row>
    <row r="213" spans="2:11" s="126" customFormat="1" ht="15" customHeight="1" x14ac:dyDescent="0.2">
      <c r="B213" s="346"/>
      <c r="C213" s="265"/>
      <c r="D213" s="265"/>
      <c r="E213" s="265"/>
      <c r="F213" s="269" t="s">
        <v>1020</v>
      </c>
      <c r="G213" s="272"/>
      <c r="H213" s="370" t="s">
        <v>128</v>
      </c>
      <c r="I213" s="370"/>
      <c r="J213" s="370"/>
      <c r="K213" s="347"/>
    </row>
    <row r="214" spans="2:11" s="126" customFormat="1" ht="15" customHeight="1" x14ac:dyDescent="0.2">
      <c r="B214" s="346"/>
      <c r="C214" s="265"/>
      <c r="D214" s="265"/>
      <c r="E214" s="265"/>
      <c r="F214" s="269"/>
      <c r="G214" s="272"/>
      <c r="H214" s="270"/>
      <c r="I214" s="270"/>
      <c r="J214" s="270"/>
      <c r="K214" s="347"/>
    </row>
    <row r="215" spans="2:11" s="126" customFormat="1" ht="15" customHeight="1" x14ac:dyDescent="0.2">
      <c r="B215" s="346"/>
      <c r="C215" s="265" t="s">
        <v>1140</v>
      </c>
      <c r="D215" s="265"/>
      <c r="E215" s="265"/>
      <c r="F215" s="269">
        <v>1</v>
      </c>
      <c r="G215" s="272"/>
      <c r="H215" s="370" t="s">
        <v>1178</v>
      </c>
      <c r="I215" s="370"/>
      <c r="J215" s="370"/>
      <c r="K215" s="347"/>
    </row>
    <row r="216" spans="2:11" s="126" customFormat="1" ht="15" customHeight="1" x14ac:dyDescent="0.2">
      <c r="B216" s="346"/>
      <c r="C216" s="265"/>
      <c r="D216" s="265"/>
      <c r="E216" s="265"/>
      <c r="F216" s="269">
        <v>2</v>
      </c>
      <c r="G216" s="272"/>
      <c r="H216" s="370" t="s">
        <v>1179</v>
      </c>
      <c r="I216" s="370"/>
      <c r="J216" s="370"/>
      <c r="K216" s="347"/>
    </row>
    <row r="217" spans="2:11" s="126" customFormat="1" ht="15" customHeight="1" x14ac:dyDescent="0.2">
      <c r="B217" s="346"/>
      <c r="C217" s="265"/>
      <c r="D217" s="265"/>
      <c r="E217" s="265"/>
      <c r="F217" s="269">
        <v>3</v>
      </c>
      <c r="G217" s="272"/>
      <c r="H217" s="370" t="s">
        <v>1180</v>
      </c>
      <c r="I217" s="370"/>
      <c r="J217" s="370"/>
      <c r="K217" s="347"/>
    </row>
    <row r="218" spans="2:11" s="126" customFormat="1" ht="15" customHeight="1" x14ac:dyDescent="0.2">
      <c r="B218" s="346"/>
      <c r="C218" s="265"/>
      <c r="D218" s="265"/>
      <c r="E218" s="265"/>
      <c r="F218" s="269">
        <v>4</v>
      </c>
      <c r="G218" s="272"/>
      <c r="H218" s="370" t="s">
        <v>1181</v>
      </c>
      <c r="I218" s="370"/>
      <c r="J218" s="370"/>
      <c r="K218" s="347"/>
    </row>
    <row r="219" spans="2:11" s="126" customFormat="1" ht="12.75" customHeight="1" x14ac:dyDescent="0.2">
      <c r="B219" s="348"/>
      <c r="C219" s="349"/>
      <c r="D219" s="349"/>
      <c r="E219" s="349"/>
      <c r="F219" s="349"/>
      <c r="G219" s="349"/>
      <c r="H219" s="349"/>
      <c r="I219" s="349"/>
      <c r="J219" s="349"/>
      <c r="K219" s="350"/>
    </row>
  </sheetData>
  <sheetProtection formatCells="0" formatColumns="0" formatRows="0" insertColumns="0" insertRows="0" insertHyperlinks="0" deleteColumns="0" deleteRows="0" sort="0" autoFilter="0" pivotTables="0"/>
  <mergeCells count="77"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H212:J212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3:J213"/>
    <mergeCell ref="H215:J215"/>
    <mergeCell ref="H216:J216"/>
    <mergeCell ref="H217:J217"/>
    <mergeCell ref="H218:J21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E1E8-9FF6-4D9D-97D0-F9F737EAB900}">
  <sheetPr>
    <pageSetUpPr fitToPage="1"/>
  </sheetPr>
  <dimension ref="A1:I37"/>
  <sheetViews>
    <sheetView workbookViewId="0">
      <selection activeCell="L29" sqref="L29"/>
    </sheetView>
  </sheetViews>
  <sheetFormatPr defaultColWidth="12.140625" defaultRowHeight="15" customHeight="1" x14ac:dyDescent="0.25"/>
  <cols>
    <col min="1" max="1" width="9.140625" style="387" customWidth="1"/>
    <col min="2" max="2" width="12.85546875" style="387" customWidth="1"/>
    <col min="3" max="3" width="27.140625" style="387" customWidth="1"/>
    <col min="4" max="4" width="10" style="387" customWidth="1"/>
    <col min="5" max="5" width="14" style="387" customWidth="1"/>
    <col min="6" max="6" width="27.140625" style="387" customWidth="1"/>
    <col min="7" max="7" width="9.140625" style="387" customWidth="1"/>
    <col min="8" max="8" width="12.85546875" style="387" customWidth="1"/>
    <col min="9" max="9" width="27.140625" style="387" customWidth="1"/>
    <col min="10" max="16384" width="12.140625" style="387"/>
  </cols>
  <sheetData>
    <row r="1" spans="1:9" ht="54.75" customHeight="1" x14ac:dyDescent="0.25">
      <c r="A1" s="385" t="s">
        <v>178</v>
      </c>
      <c r="B1" s="386"/>
      <c r="C1" s="386"/>
      <c r="D1" s="386"/>
      <c r="E1" s="386"/>
      <c r="F1" s="386"/>
      <c r="G1" s="386"/>
      <c r="H1" s="386"/>
      <c r="I1" s="386"/>
    </row>
    <row r="2" spans="1:9" x14ac:dyDescent="0.25">
      <c r="A2" s="388" t="s">
        <v>1</v>
      </c>
      <c r="B2" s="389"/>
      <c r="C2" s="390" t="str">
        <f>SO03_mobiliář!C2</f>
        <v>Karlovy Vary, Sady Karla IV.-revitalizace veřejného prostranství</v>
      </c>
      <c r="D2" s="391"/>
      <c r="E2" s="392" t="s">
        <v>3</v>
      </c>
      <c r="F2" s="392" t="str">
        <f>SO03_mobiliář!I2</f>
        <v> </v>
      </c>
      <c r="G2" s="389"/>
      <c r="H2" s="392" t="s">
        <v>179</v>
      </c>
      <c r="I2" s="393" t="s">
        <v>180</v>
      </c>
    </row>
    <row r="3" spans="1:9" ht="15" customHeight="1" x14ac:dyDescent="0.25">
      <c r="A3" s="394"/>
      <c r="B3" s="395"/>
      <c r="C3" s="396"/>
      <c r="D3" s="396"/>
      <c r="E3" s="395"/>
      <c r="F3" s="395"/>
      <c r="G3" s="395"/>
      <c r="H3" s="395"/>
      <c r="I3" s="397"/>
    </row>
    <row r="4" spans="1:9" x14ac:dyDescent="0.25">
      <c r="A4" s="398" t="s">
        <v>181</v>
      </c>
      <c r="B4" s="395"/>
      <c r="C4" s="399" t="str">
        <f>SO03_mobiliář!C4</f>
        <v>SO04_Mobiliář a drobná architektura</v>
      </c>
      <c r="D4" s="395"/>
      <c r="E4" s="399" t="s">
        <v>182</v>
      </c>
      <c r="F4" s="399" t="str">
        <f>SO03_mobiliář!I4</f>
        <v>Ing. Přemysl Krejčiřík, Ph.D.</v>
      </c>
      <c r="G4" s="395"/>
      <c r="H4" s="399" t="s">
        <v>179</v>
      </c>
      <c r="I4" s="397" t="s">
        <v>183</v>
      </c>
    </row>
    <row r="5" spans="1:9" ht="15" customHeight="1" x14ac:dyDescent="0.25">
      <c r="A5" s="394"/>
      <c r="B5" s="395"/>
      <c r="C5" s="395"/>
      <c r="D5" s="395"/>
      <c r="E5" s="395"/>
      <c r="F5" s="395"/>
      <c r="G5" s="395"/>
      <c r="H5" s="395"/>
      <c r="I5" s="397"/>
    </row>
    <row r="6" spans="1:9" x14ac:dyDescent="0.25">
      <c r="A6" s="398" t="s">
        <v>2</v>
      </c>
      <c r="B6" s="395"/>
      <c r="C6" s="399" t="str">
        <f>SO03_mobiliář!C6</f>
        <v>Karlovy Vary</v>
      </c>
      <c r="D6" s="395"/>
      <c r="E6" s="399" t="s">
        <v>184</v>
      </c>
      <c r="F6" s="501" t="str">
        <f>SO03_mobiliář!I6</f>
        <v> </v>
      </c>
      <c r="G6" s="502"/>
      <c r="H6" s="399" t="s">
        <v>179</v>
      </c>
      <c r="I6" s="397" t="s">
        <v>180</v>
      </c>
    </row>
    <row r="7" spans="1:9" ht="15" customHeight="1" x14ac:dyDescent="0.25">
      <c r="A7" s="394"/>
      <c r="B7" s="395"/>
      <c r="C7" s="395"/>
      <c r="D7" s="395"/>
      <c r="E7" s="395"/>
      <c r="F7" s="502"/>
      <c r="G7" s="502"/>
      <c r="H7" s="395"/>
      <c r="I7" s="397"/>
    </row>
    <row r="8" spans="1:9" x14ac:dyDescent="0.25">
      <c r="A8" s="398" t="s">
        <v>185</v>
      </c>
      <c r="B8" s="395"/>
      <c r="C8" s="399" t="str">
        <f>SO03_mobiliář!G4</f>
        <v xml:space="preserve"> </v>
      </c>
      <c r="D8" s="395"/>
      <c r="E8" s="399" t="s">
        <v>186</v>
      </c>
      <c r="F8" s="399" t="str">
        <f>SO03_mobiliář!G6</f>
        <v xml:space="preserve"> </v>
      </c>
      <c r="G8" s="395"/>
      <c r="H8" s="395" t="s">
        <v>187</v>
      </c>
      <c r="I8" s="400">
        <v>24</v>
      </c>
    </row>
    <row r="9" spans="1:9" x14ac:dyDescent="0.25">
      <c r="A9" s="394"/>
      <c r="B9" s="395"/>
      <c r="C9" s="395"/>
      <c r="D9" s="395"/>
      <c r="E9" s="395"/>
      <c r="F9" s="395"/>
      <c r="G9" s="395"/>
      <c r="H9" s="395"/>
      <c r="I9" s="397"/>
    </row>
    <row r="10" spans="1:9" x14ac:dyDescent="0.25">
      <c r="A10" s="398" t="s">
        <v>188</v>
      </c>
      <c r="B10" s="395"/>
      <c r="C10" s="399" t="str">
        <f>SO03_mobiliář!C8</f>
        <v xml:space="preserve"> </v>
      </c>
      <c r="D10" s="395"/>
      <c r="E10" s="399" t="s">
        <v>189</v>
      </c>
      <c r="F10" s="399" t="str">
        <f>SO03_mobiliář!I8</f>
        <v>Ing. Aneta Dalajková</v>
      </c>
      <c r="G10" s="395"/>
      <c r="H10" s="395" t="s">
        <v>4</v>
      </c>
      <c r="I10" s="401" t="str">
        <f>SO03_mobiliář!G8</f>
        <v>18.12.2023</v>
      </c>
    </row>
    <row r="11" spans="1:9" x14ac:dyDescent="0.25">
      <c r="A11" s="402"/>
      <c r="B11" s="403"/>
      <c r="C11" s="403"/>
      <c r="D11" s="403"/>
      <c r="E11" s="403"/>
      <c r="F11" s="403"/>
      <c r="G11" s="403"/>
      <c r="H11" s="403"/>
      <c r="I11" s="404"/>
    </row>
    <row r="12" spans="1:9" ht="23.25" x14ac:dyDescent="0.25">
      <c r="A12" s="405" t="s">
        <v>190</v>
      </c>
      <c r="B12" s="405"/>
      <c r="C12" s="405"/>
      <c r="D12" s="405"/>
      <c r="E12" s="405"/>
      <c r="F12" s="405"/>
      <c r="G12" s="405"/>
      <c r="H12" s="405"/>
      <c r="I12" s="405"/>
    </row>
    <row r="13" spans="1:9" ht="26.25" customHeight="1" x14ac:dyDescent="0.25">
      <c r="A13" s="406" t="s">
        <v>191</v>
      </c>
      <c r="B13" s="407" t="s">
        <v>192</v>
      </c>
      <c r="C13" s="408"/>
      <c r="D13" s="409" t="s">
        <v>193</v>
      </c>
      <c r="E13" s="407" t="s">
        <v>194</v>
      </c>
      <c r="F13" s="408"/>
      <c r="G13" s="409" t="s">
        <v>195</v>
      </c>
      <c r="H13" s="407" t="s">
        <v>196</v>
      </c>
      <c r="I13" s="408"/>
    </row>
    <row r="14" spans="1:9" ht="15.75" x14ac:dyDescent="0.25">
      <c r="A14" s="410" t="s">
        <v>197</v>
      </c>
      <c r="B14" s="411" t="s">
        <v>198</v>
      </c>
      <c r="C14" s="412">
        <f>SUM(SO03_mobiliář!AB12:AB60)</f>
        <v>0</v>
      </c>
      <c r="D14" s="413"/>
      <c r="E14" s="414"/>
      <c r="F14" s="412"/>
      <c r="G14" s="413"/>
      <c r="H14" s="414"/>
      <c r="I14" s="415"/>
    </row>
    <row r="15" spans="1:9" ht="15.75" x14ac:dyDescent="0.25">
      <c r="A15" s="416" t="s">
        <v>180</v>
      </c>
      <c r="B15" s="411" t="s">
        <v>200</v>
      </c>
      <c r="C15" s="412">
        <f>SUM(SO03_mobiliář!AC12:AC60)</f>
        <v>0</v>
      </c>
      <c r="D15" s="413"/>
      <c r="E15" s="414"/>
      <c r="F15" s="412"/>
      <c r="G15" s="413"/>
      <c r="H15" s="414"/>
      <c r="I15" s="415"/>
    </row>
    <row r="16" spans="1:9" ht="15.75" x14ac:dyDescent="0.25">
      <c r="A16" s="410" t="s">
        <v>201</v>
      </c>
      <c r="B16" s="411" t="s">
        <v>198</v>
      </c>
      <c r="C16" s="412">
        <f>SUM(SO03_mobiliář!AD12:AD60)</f>
        <v>0</v>
      </c>
      <c r="D16" s="413"/>
      <c r="E16" s="414"/>
      <c r="F16" s="412"/>
      <c r="G16" s="413"/>
      <c r="H16" s="414"/>
      <c r="I16" s="415"/>
    </row>
    <row r="17" spans="1:9" ht="15.75" x14ac:dyDescent="0.25">
      <c r="A17" s="416" t="s">
        <v>180</v>
      </c>
      <c r="B17" s="411" t="s">
        <v>200</v>
      </c>
      <c r="C17" s="412">
        <f>SUM(SO03_mobiliář!AE12:AE60)</f>
        <v>0</v>
      </c>
      <c r="D17" s="413"/>
      <c r="E17" s="414"/>
      <c r="F17" s="415"/>
      <c r="G17" s="413"/>
      <c r="H17" s="414"/>
      <c r="I17" s="415"/>
    </row>
    <row r="18" spans="1:9" ht="15.75" x14ac:dyDescent="0.25">
      <c r="A18" s="410" t="s">
        <v>202</v>
      </c>
      <c r="B18" s="411" t="s">
        <v>198</v>
      </c>
      <c r="C18" s="412">
        <f>SUM(SO03_mobiliář!AF12:AF60)</f>
        <v>0</v>
      </c>
      <c r="D18" s="413"/>
      <c r="E18" s="414"/>
      <c r="F18" s="415"/>
      <c r="G18" s="413"/>
      <c r="H18" s="414"/>
      <c r="I18" s="415"/>
    </row>
    <row r="19" spans="1:9" ht="15.75" x14ac:dyDescent="0.25">
      <c r="A19" s="416" t="s">
        <v>180</v>
      </c>
      <c r="B19" s="411" t="s">
        <v>200</v>
      </c>
      <c r="C19" s="412">
        <f>SUM(SO03_mobiliář!AG12:AG60)</f>
        <v>0</v>
      </c>
      <c r="D19" s="413"/>
      <c r="E19" s="414"/>
      <c r="F19" s="415"/>
      <c r="G19" s="413"/>
      <c r="H19" s="414"/>
      <c r="I19" s="415"/>
    </row>
    <row r="20" spans="1:9" ht="15.75" x14ac:dyDescent="0.25">
      <c r="A20" s="417" t="s">
        <v>203</v>
      </c>
      <c r="B20" s="418"/>
      <c r="C20" s="412">
        <f>SUM(SO03_mobiliář!AH12:AH60)</f>
        <v>0</v>
      </c>
      <c r="D20" s="413"/>
      <c r="E20" s="414"/>
      <c r="F20" s="415"/>
      <c r="G20" s="413"/>
      <c r="H20" s="414"/>
      <c r="I20" s="415"/>
    </row>
    <row r="21" spans="1:9" ht="15.75" x14ac:dyDescent="0.25">
      <c r="A21" s="419" t="s">
        <v>204</v>
      </c>
      <c r="B21" s="420"/>
      <c r="C21" s="421">
        <f>SUM(SO03_mobiliář!Z12:Z60)</f>
        <v>0</v>
      </c>
      <c r="D21" s="422"/>
      <c r="E21" s="423"/>
      <c r="F21" s="424"/>
      <c r="G21" s="422"/>
      <c r="H21" s="423"/>
      <c r="I21" s="424"/>
    </row>
    <row r="22" spans="1:9" ht="16.5" customHeight="1" x14ac:dyDescent="0.25">
      <c r="A22" s="425" t="s">
        <v>205</v>
      </c>
      <c r="B22" s="426"/>
      <c r="C22" s="427">
        <f>SUM(C14:C21)</f>
        <v>0</v>
      </c>
      <c r="D22" s="428"/>
      <c r="E22" s="426"/>
      <c r="F22" s="427"/>
      <c r="G22" s="428"/>
      <c r="H22" s="426"/>
      <c r="I22" s="427"/>
    </row>
    <row r="23" spans="1:9" ht="16.5" thickBot="1" x14ac:dyDescent="0.3">
      <c r="D23" s="417"/>
      <c r="E23" s="418"/>
      <c r="F23" s="429"/>
      <c r="G23" s="430"/>
      <c r="H23" s="418"/>
      <c r="I23" s="412"/>
    </row>
    <row r="24" spans="1:9" ht="15.75" x14ac:dyDescent="0.25">
      <c r="G24" s="417"/>
      <c r="H24" s="418"/>
      <c r="I24" s="421"/>
    </row>
    <row r="25" spans="1:9" ht="15.75" x14ac:dyDescent="0.25">
      <c r="G25" s="417"/>
      <c r="H25" s="418"/>
      <c r="I25" s="427"/>
    </row>
    <row r="27" spans="1:9" ht="15.75" x14ac:dyDescent="0.25">
      <c r="A27" s="431" t="s">
        <v>206</v>
      </c>
      <c r="B27" s="432"/>
      <c r="C27" s="433">
        <f>SUM(SO03_mobiliář!AJ12:AJ60)</f>
        <v>0</v>
      </c>
    </row>
    <row r="28" spans="1:9" ht="15.75" x14ac:dyDescent="0.25">
      <c r="A28" s="434" t="s">
        <v>1190</v>
      </c>
      <c r="B28" s="435"/>
      <c r="C28" s="436">
        <f>SUM(SO03_mobiliář!AK12:AK60)</f>
        <v>0</v>
      </c>
      <c r="D28" s="432" t="s">
        <v>1189</v>
      </c>
      <c r="E28" s="432"/>
      <c r="F28" s="433">
        <f>ROUND(C28*(15/100),2)</f>
        <v>0</v>
      </c>
      <c r="G28" s="432" t="s">
        <v>207</v>
      </c>
      <c r="H28" s="432"/>
      <c r="I28" s="433">
        <f>SUM(C27:C29)</f>
        <v>0</v>
      </c>
    </row>
    <row r="29" spans="1:9" ht="15.75" x14ac:dyDescent="0.25">
      <c r="A29" s="434" t="s">
        <v>208</v>
      </c>
      <c r="B29" s="435"/>
      <c r="C29" s="436">
        <f>SUM(SO03_mobiliář!AL12:AL60)+(F22+I22+F23+I23+I24+I25)</f>
        <v>0</v>
      </c>
      <c r="D29" s="435" t="s">
        <v>15</v>
      </c>
      <c r="E29" s="435"/>
      <c r="F29" s="436">
        <f>ROUND(C29*(21/100),2)</f>
        <v>0</v>
      </c>
      <c r="G29" s="435" t="s">
        <v>209</v>
      </c>
      <c r="H29" s="435"/>
      <c r="I29" s="436">
        <f>SUM(F28:F29)+I28</f>
        <v>0</v>
      </c>
    </row>
    <row r="31" spans="1:9" x14ac:dyDescent="0.25">
      <c r="A31" s="437" t="s">
        <v>210</v>
      </c>
      <c r="B31" s="438"/>
      <c r="C31" s="439"/>
      <c r="D31" s="438" t="s">
        <v>211</v>
      </c>
      <c r="E31" s="438"/>
      <c r="F31" s="439"/>
      <c r="G31" s="438" t="s">
        <v>212</v>
      </c>
      <c r="H31" s="438"/>
      <c r="I31" s="439"/>
    </row>
    <row r="32" spans="1:9" x14ac:dyDescent="0.25">
      <c r="A32" s="440" t="s">
        <v>180</v>
      </c>
      <c r="B32" s="422"/>
      <c r="C32" s="441"/>
      <c r="D32" s="422" t="s">
        <v>180</v>
      </c>
      <c r="E32" s="422"/>
      <c r="F32" s="441"/>
      <c r="G32" s="422" t="s">
        <v>180</v>
      </c>
      <c r="H32" s="422"/>
      <c r="I32" s="441"/>
    </row>
    <row r="33" spans="1:9" x14ac:dyDescent="0.25">
      <c r="A33" s="440" t="s">
        <v>180</v>
      </c>
      <c r="B33" s="422"/>
      <c r="C33" s="441"/>
      <c r="D33" s="422" t="s">
        <v>180</v>
      </c>
      <c r="E33" s="422"/>
      <c r="F33" s="441"/>
      <c r="G33" s="422" t="s">
        <v>180</v>
      </c>
      <c r="H33" s="422"/>
      <c r="I33" s="441"/>
    </row>
    <row r="34" spans="1:9" x14ac:dyDescent="0.25">
      <c r="A34" s="440" t="s">
        <v>180</v>
      </c>
      <c r="B34" s="422"/>
      <c r="C34" s="441"/>
      <c r="D34" s="422" t="s">
        <v>180</v>
      </c>
      <c r="E34" s="422"/>
      <c r="F34" s="441"/>
      <c r="G34" s="422" t="s">
        <v>180</v>
      </c>
      <c r="H34" s="422"/>
      <c r="I34" s="441"/>
    </row>
    <row r="35" spans="1:9" ht="15.75" thickBot="1" x14ac:dyDescent="0.3">
      <c r="A35" s="442" t="s">
        <v>213</v>
      </c>
      <c r="B35" s="443"/>
      <c r="C35" s="444"/>
      <c r="D35" s="443" t="s">
        <v>213</v>
      </c>
      <c r="E35" s="443"/>
      <c r="F35" s="444"/>
      <c r="G35" s="443" t="s">
        <v>213</v>
      </c>
      <c r="H35" s="443"/>
      <c r="I35" s="444"/>
    </row>
    <row r="36" spans="1:9" x14ac:dyDescent="0.25">
      <c r="A36" s="445" t="s">
        <v>214</v>
      </c>
    </row>
    <row r="37" spans="1:9" ht="12.75" customHeight="1" x14ac:dyDescent="0.25">
      <c r="A37" s="399" t="s">
        <v>180</v>
      </c>
      <c r="B37" s="395"/>
      <c r="C37" s="395"/>
      <c r="D37" s="395"/>
      <c r="E37" s="395"/>
      <c r="F37" s="395"/>
      <c r="G37" s="395"/>
      <c r="H37" s="395"/>
      <c r="I37" s="395"/>
    </row>
  </sheetData>
  <sheetProtection algorithmName="SHA-512" hashValue="EWMqMl9GUmh1oWmtRoPWO+vTK+qyroCEvVFhUGSq/MX9Sr64yvRwpA21Q54T6gayIZD0Cf6YL6mIxcwXFx/t3A==" saltValue="QMAH0KZU6/n/VmcJqet/C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A1:I1"/>
    <mergeCell ref="A2:B3"/>
    <mergeCell ref="C2:D3"/>
    <mergeCell ref="E2:E3"/>
    <mergeCell ref="F2:G3"/>
    <mergeCell ref="H2:H3"/>
    <mergeCell ref="I2:I3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4B1-37F9-4FE1-8354-1D9CB6BF827E}">
  <sheetPr>
    <pageSetUpPr fitToPage="1"/>
  </sheetPr>
  <dimension ref="A1:BZ63"/>
  <sheetViews>
    <sheetView workbookViewId="0">
      <pane ySplit="11" topLeftCell="A40" activePane="bottomLeft" state="frozen"/>
      <selection activeCell="L27" sqref="L27"/>
      <selection pane="bottomLeft" activeCell="N46" sqref="N46"/>
    </sheetView>
  </sheetViews>
  <sheetFormatPr defaultColWidth="12.140625" defaultRowHeight="15" customHeight="1" x14ac:dyDescent="0.25"/>
  <cols>
    <col min="1" max="1" width="4" style="387" customWidth="1"/>
    <col min="2" max="2" width="17.85546875" style="387" customWidth="1"/>
    <col min="3" max="3" width="42.85546875" style="387" customWidth="1"/>
    <col min="4" max="4" width="35.7109375" style="387" customWidth="1"/>
    <col min="5" max="5" width="4.28515625" style="387" customWidth="1"/>
    <col min="6" max="6" width="12.85546875" style="387" customWidth="1"/>
    <col min="7" max="7" width="12" style="387" customWidth="1"/>
    <col min="8" max="10" width="15.7109375" style="387" customWidth="1"/>
    <col min="11" max="11" width="13.42578125" style="387" customWidth="1"/>
    <col min="12" max="75" width="12.140625" style="387"/>
    <col min="76" max="76" width="78.5703125" style="387" hidden="1" customWidth="1"/>
    <col min="77" max="16384" width="12.140625" style="387"/>
  </cols>
  <sheetData>
    <row r="1" spans="1:76" ht="54.75" customHeight="1" x14ac:dyDescent="0.25">
      <c r="A1" s="386" t="s">
        <v>215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AS1" s="446">
        <f>SUM(AJ1:AJ2)</f>
        <v>0</v>
      </c>
      <c r="AT1" s="446">
        <f>SUM(AK1:AK2)</f>
        <v>0</v>
      </c>
      <c r="AU1" s="446">
        <f>SUM(AL1:AL2)</f>
        <v>0</v>
      </c>
    </row>
    <row r="2" spans="1:76" x14ac:dyDescent="0.25">
      <c r="A2" s="388" t="s">
        <v>1</v>
      </c>
      <c r="B2" s="389"/>
      <c r="C2" s="390" t="s">
        <v>216</v>
      </c>
      <c r="D2" s="391"/>
      <c r="E2" s="389" t="s">
        <v>217</v>
      </c>
      <c r="F2" s="389"/>
      <c r="G2" s="389" t="s">
        <v>218</v>
      </c>
      <c r="H2" s="392" t="s">
        <v>3</v>
      </c>
      <c r="I2" s="389" t="s">
        <v>221</v>
      </c>
      <c r="J2" s="389"/>
      <c r="K2" s="393"/>
    </row>
    <row r="3" spans="1:76" x14ac:dyDescent="0.25">
      <c r="A3" s="394"/>
      <c r="B3" s="395"/>
      <c r="C3" s="396"/>
      <c r="D3" s="396"/>
      <c r="E3" s="395"/>
      <c r="F3" s="395"/>
      <c r="G3" s="395"/>
      <c r="H3" s="395"/>
      <c r="I3" s="395"/>
      <c r="J3" s="395"/>
      <c r="K3" s="397"/>
    </row>
    <row r="4" spans="1:76" x14ac:dyDescent="0.25">
      <c r="A4" s="398" t="s">
        <v>181</v>
      </c>
      <c r="B4" s="395"/>
      <c r="C4" s="399" t="s">
        <v>1255</v>
      </c>
      <c r="D4" s="395"/>
      <c r="E4" s="395" t="s">
        <v>185</v>
      </c>
      <c r="F4" s="395"/>
      <c r="G4" s="395" t="s">
        <v>218</v>
      </c>
      <c r="H4" s="399" t="s">
        <v>182</v>
      </c>
      <c r="I4" s="399" t="s">
        <v>219</v>
      </c>
      <c r="J4" s="395"/>
      <c r="K4" s="397"/>
    </row>
    <row r="5" spans="1:76" x14ac:dyDescent="0.25">
      <c r="A5" s="394"/>
      <c r="B5" s="395"/>
      <c r="C5" s="395"/>
      <c r="D5" s="395"/>
      <c r="E5" s="395"/>
      <c r="F5" s="395"/>
      <c r="G5" s="395"/>
      <c r="H5" s="395"/>
      <c r="I5" s="395"/>
      <c r="J5" s="395"/>
      <c r="K5" s="397"/>
    </row>
    <row r="6" spans="1:76" x14ac:dyDescent="0.25">
      <c r="A6" s="398" t="s">
        <v>2</v>
      </c>
      <c r="B6" s="395"/>
      <c r="C6" s="399" t="s">
        <v>220</v>
      </c>
      <c r="D6" s="395"/>
      <c r="E6" s="395" t="s">
        <v>186</v>
      </c>
      <c r="F6" s="395"/>
      <c r="G6" s="395" t="s">
        <v>218</v>
      </c>
      <c r="H6" s="399" t="s">
        <v>184</v>
      </c>
      <c r="I6" s="502" t="s">
        <v>221</v>
      </c>
      <c r="J6" s="502"/>
      <c r="K6" s="503"/>
    </row>
    <row r="7" spans="1:76" x14ac:dyDescent="0.25">
      <c r="A7" s="394"/>
      <c r="B7" s="395"/>
      <c r="C7" s="395"/>
      <c r="D7" s="395"/>
      <c r="E7" s="395"/>
      <c r="F7" s="395"/>
      <c r="G7" s="395"/>
      <c r="H7" s="395"/>
      <c r="I7" s="502"/>
      <c r="J7" s="502"/>
      <c r="K7" s="503"/>
    </row>
    <row r="8" spans="1:76" x14ac:dyDescent="0.25">
      <c r="A8" s="398" t="s">
        <v>188</v>
      </c>
      <c r="B8" s="395"/>
      <c r="C8" s="399" t="s">
        <v>218</v>
      </c>
      <c r="D8" s="395"/>
      <c r="E8" s="395" t="s">
        <v>222</v>
      </c>
      <c r="F8" s="395"/>
      <c r="G8" s="395" t="s">
        <v>223</v>
      </c>
      <c r="H8" s="399" t="s">
        <v>189</v>
      </c>
      <c r="I8" s="399" t="s">
        <v>224</v>
      </c>
      <c r="J8" s="395"/>
      <c r="K8" s="397"/>
    </row>
    <row r="9" spans="1:76" ht="15.75" thickBot="1" x14ac:dyDescent="0.3">
      <c r="A9" s="394"/>
      <c r="B9" s="395"/>
      <c r="C9" s="395"/>
      <c r="D9" s="395"/>
      <c r="E9" s="395"/>
      <c r="F9" s="395"/>
      <c r="G9" s="395"/>
      <c r="H9" s="395"/>
      <c r="I9" s="395"/>
      <c r="J9" s="395"/>
      <c r="K9" s="397"/>
    </row>
    <row r="10" spans="1:76" x14ac:dyDescent="0.25">
      <c r="A10" s="447" t="s">
        <v>225</v>
      </c>
      <c r="B10" s="448" t="s">
        <v>23</v>
      </c>
      <c r="C10" s="449" t="s">
        <v>226</v>
      </c>
      <c r="D10" s="450"/>
      <c r="E10" s="448" t="s">
        <v>25</v>
      </c>
      <c r="F10" s="451" t="s">
        <v>227</v>
      </c>
      <c r="G10" s="452" t="s">
        <v>228</v>
      </c>
      <c r="H10" s="453" t="s">
        <v>229</v>
      </c>
      <c r="I10" s="454"/>
      <c r="J10" s="455"/>
      <c r="K10" s="451" t="s">
        <v>230</v>
      </c>
      <c r="BK10" s="456" t="s">
        <v>231</v>
      </c>
      <c r="BL10" s="457" t="s">
        <v>232</v>
      </c>
      <c r="BW10" s="457" t="s">
        <v>233</v>
      </c>
    </row>
    <row r="11" spans="1:76" ht="15.75" thickBot="1" x14ac:dyDescent="0.3">
      <c r="A11" s="458" t="s">
        <v>218</v>
      </c>
      <c r="B11" s="459" t="s">
        <v>218</v>
      </c>
      <c r="C11" s="460" t="s">
        <v>234</v>
      </c>
      <c r="D11" s="461"/>
      <c r="E11" s="459" t="s">
        <v>218</v>
      </c>
      <c r="F11" s="459" t="s">
        <v>218</v>
      </c>
      <c r="G11" s="462" t="s">
        <v>235</v>
      </c>
      <c r="H11" s="463" t="s">
        <v>236</v>
      </c>
      <c r="I11" s="464" t="s">
        <v>200</v>
      </c>
      <c r="J11" s="465" t="s">
        <v>237</v>
      </c>
      <c r="K11" s="464" t="s">
        <v>238</v>
      </c>
      <c r="Z11" s="456" t="s">
        <v>239</v>
      </c>
      <c r="AA11" s="456" t="s">
        <v>240</v>
      </c>
      <c r="AB11" s="456" t="s">
        <v>241</v>
      </c>
      <c r="AC11" s="456" t="s">
        <v>242</v>
      </c>
      <c r="AD11" s="456" t="s">
        <v>243</v>
      </c>
      <c r="AE11" s="456" t="s">
        <v>244</v>
      </c>
      <c r="AF11" s="456" t="s">
        <v>245</v>
      </c>
      <c r="AG11" s="456" t="s">
        <v>246</v>
      </c>
      <c r="AH11" s="456" t="s">
        <v>247</v>
      </c>
      <c r="BH11" s="456" t="s">
        <v>248</v>
      </c>
      <c r="BI11" s="456" t="s">
        <v>249</v>
      </c>
      <c r="BJ11" s="456" t="s">
        <v>250</v>
      </c>
    </row>
    <row r="12" spans="1:76" x14ac:dyDescent="0.25">
      <c r="A12" s="466" t="s">
        <v>180</v>
      </c>
      <c r="B12" s="467" t="s">
        <v>180</v>
      </c>
      <c r="C12" s="468" t="s">
        <v>1256</v>
      </c>
      <c r="D12" s="469"/>
      <c r="E12" s="470" t="s">
        <v>218</v>
      </c>
      <c r="F12" s="470" t="s">
        <v>218</v>
      </c>
      <c r="G12" s="470" t="s">
        <v>218</v>
      </c>
      <c r="H12" s="471">
        <f>H13+H21</f>
        <v>0</v>
      </c>
      <c r="I12" s="471">
        <f>I13+I21</f>
        <v>0</v>
      </c>
      <c r="J12" s="471">
        <f>J13+J21</f>
        <v>0</v>
      </c>
      <c r="K12" s="472" t="s">
        <v>180</v>
      </c>
    </row>
    <row r="13" spans="1:76" x14ac:dyDescent="0.25">
      <c r="A13" s="473" t="s">
        <v>180</v>
      </c>
      <c r="B13" s="474" t="s">
        <v>1257</v>
      </c>
      <c r="C13" s="475" t="s">
        <v>1258</v>
      </c>
      <c r="D13" s="476"/>
      <c r="E13" s="477" t="s">
        <v>218</v>
      </c>
      <c r="F13" s="477" t="s">
        <v>218</v>
      </c>
      <c r="G13" s="477" t="s">
        <v>218</v>
      </c>
      <c r="H13" s="446">
        <f>SUM(H14:H19)</f>
        <v>0</v>
      </c>
      <c r="I13" s="446">
        <f>SUM(I14:I19)</f>
        <v>0</v>
      </c>
      <c r="J13" s="446">
        <f>SUM(J14:J19)</f>
        <v>0</v>
      </c>
      <c r="K13" s="478" t="s">
        <v>180</v>
      </c>
      <c r="AI13" s="456" t="s">
        <v>253</v>
      </c>
      <c r="AS13" s="446">
        <f>SUM(AJ14:AJ19)</f>
        <v>0</v>
      </c>
      <c r="AT13" s="446">
        <f>SUM(AK14:AK19)</f>
        <v>0</v>
      </c>
      <c r="AU13" s="446">
        <f>SUM(AL14:AL19)</f>
        <v>0</v>
      </c>
    </row>
    <row r="14" spans="1:76" x14ac:dyDescent="0.25">
      <c r="A14" s="479" t="s">
        <v>254</v>
      </c>
      <c r="B14" s="480" t="s">
        <v>1259</v>
      </c>
      <c r="C14" s="399" t="s">
        <v>1260</v>
      </c>
      <c r="D14" s="395"/>
      <c r="E14" s="480" t="s">
        <v>291</v>
      </c>
      <c r="F14" s="481">
        <v>0.2</v>
      </c>
      <c r="G14" s="504">
        <v>0</v>
      </c>
      <c r="H14" s="481">
        <f>F14*AO14</f>
        <v>0</v>
      </c>
      <c r="I14" s="481">
        <f>F14*AP14</f>
        <v>0</v>
      </c>
      <c r="J14" s="481">
        <f>F14*G14</f>
        <v>0</v>
      </c>
      <c r="K14" s="482" t="s">
        <v>256</v>
      </c>
      <c r="Z14" s="481">
        <f>IF(AQ14="5",BJ14,0)</f>
        <v>0</v>
      </c>
      <c r="AB14" s="481">
        <f>IF(AQ14="1",BH14,0)</f>
        <v>0</v>
      </c>
      <c r="AC14" s="481">
        <f>IF(AQ14="1",BI14,0)</f>
        <v>0</v>
      </c>
      <c r="AD14" s="481">
        <f>IF(AQ14="7",BH14,0)</f>
        <v>0</v>
      </c>
      <c r="AE14" s="481">
        <f>IF(AQ14="7",BI14,0)</f>
        <v>0</v>
      </c>
      <c r="AF14" s="481">
        <f>IF(AQ14="2",BH14,0)</f>
        <v>0</v>
      </c>
      <c r="AG14" s="481">
        <f>IF(AQ14="2",BI14,0)</f>
        <v>0</v>
      </c>
      <c r="AH14" s="481">
        <f>IF(AQ14="0",BJ14,0)</f>
        <v>0</v>
      </c>
      <c r="AI14" s="456" t="s">
        <v>253</v>
      </c>
      <c r="AJ14" s="481">
        <f>IF(AN14=0,J14,0)</f>
        <v>0</v>
      </c>
      <c r="AK14" s="481">
        <f>IF(AN14=15,J14,0)</f>
        <v>0</v>
      </c>
      <c r="AL14" s="481">
        <f>IF(AN14=21,J14,0)</f>
        <v>0</v>
      </c>
      <c r="AN14" s="481">
        <v>21</v>
      </c>
      <c r="AO14" s="481">
        <f>G14*0</f>
        <v>0</v>
      </c>
      <c r="AP14" s="481">
        <f>G14*(1-0)</f>
        <v>0</v>
      </c>
      <c r="AQ14" s="483" t="s">
        <v>254</v>
      </c>
      <c r="AV14" s="481">
        <f>AW14+AX14</f>
        <v>0</v>
      </c>
      <c r="AW14" s="481">
        <f>F14*AO14</f>
        <v>0</v>
      </c>
      <c r="AX14" s="481">
        <f>F14*AP14</f>
        <v>0</v>
      </c>
      <c r="AY14" s="483" t="s">
        <v>1261</v>
      </c>
      <c r="AZ14" s="483" t="s">
        <v>287</v>
      </c>
      <c r="BA14" s="456" t="s">
        <v>259</v>
      </c>
      <c r="BC14" s="481">
        <f>AW14+AX14</f>
        <v>0</v>
      </c>
      <c r="BD14" s="481">
        <f>G14/(100-BE14)*100</f>
        <v>0</v>
      </c>
      <c r="BE14" s="481">
        <v>0</v>
      </c>
      <c r="BF14" s="481">
        <f>14</f>
        <v>14</v>
      </c>
      <c r="BH14" s="481">
        <f>F14*AO14</f>
        <v>0</v>
      </c>
      <c r="BI14" s="481">
        <f>F14*AP14</f>
        <v>0</v>
      </c>
      <c r="BJ14" s="481">
        <f>F14*G14</f>
        <v>0</v>
      </c>
      <c r="BK14" s="481"/>
      <c r="BL14" s="481">
        <v>96</v>
      </c>
      <c r="BW14" s="481">
        <v>21</v>
      </c>
      <c r="BX14" s="484" t="s">
        <v>1260</v>
      </c>
    </row>
    <row r="15" spans="1:76" x14ac:dyDescent="0.25">
      <c r="A15" s="479" t="s">
        <v>260</v>
      </c>
      <c r="B15" s="480" t="s">
        <v>1262</v>
      </c>
      <c r="C15" s="399" t="s">
        <v>1263</v>
      </c>
      <c r="D15" s="395"/>
      <c r="E15" s="480" t="s">
        <v>261</v>
      </c>
      <c r="F15" s="481">
        <v>5</v>
      </c>
      <c r="G15" s="504">
        <v>0</v>
      </c>
      <c r="H15" s="481">
        <f>F15*AO15</f>
        <v>0</v>
      </c>
      <c r="I15" s="481">
        <f>F15*AP15</f>
        <v>0</v>
      </c>
      <c r="J15" s="481">
        <f>F15*G15</f>
        <v>0</v>
      </c>
      <c r="K15" s="482" t="s">
        <v>312</v>
      </c>
      <c r="Z15" s="481">
        <f>IF(AQ15="5",BJ15,0)</f>
        <v>0</v>
      </c>
      <c r="AB15" s="481">
        <f>IF(AQ15="1",BH15,0)</f>
        <v>0</v>
      </c>
      <c r="AC15" s="481">
        <f>IF(AQ15="1",BI15,0)</f>
        <v>0</v>
      </c>
      <c r="AD15" s="481">
        <f>IF(AQ15="7",BH15,0)</f>
        <v>0</v>
      </c>
      <c r="AE15" s="481">
        <f>IF(AQ15="7",BI15,0)</f>
        <v>0</v>
      </c>
      <c r="AF15" s="481">
        <f>IF(AQ15="2",BH15,0)</f>
        <v>0</v>
      </c>
      <c r="AG15" s="481">
        <f>IF(AQ15="2",BI15,0)</f>
        <v>0</v>
      </c>
      <c r="AH15" s="481">
        <f>IF(AQ15="0",BJ15,0)</f>
        <v>0</v>
      </c>
      <c r="AI15" s="456" t="s">
        <v>253</v>
      </c>
      <c r="AJ15" s="481">
        <f>IF(AN15=0,J15,0)</f>
        <v>0</v>
      </c>
      <c r="AK15" s="481">
        <f>IF(AN15=15,J15,0)</f>
        <v>0</v>
      </c>
      <c r="AL15" s="481">
        <f>IF(AN15=21,J15,0)</f>
        <v>0</v>
      </c>
      <c r="AN15" s="481">
        <v>21</v>
      </c>
      <c r="AO15" s="481">
        <f>G15*0.067736132</f>
        <v>0</v>
      </c>
      <c r="AP15" s="481">
        <f>G15*(1-0.067736132)</f>
        <v>0</v>
      </c>
      <c r="AQ15" s="483" t="s">
        <v>254</v>
      </c>
      <c r="AV15" s="481">
        <f>AW15+AX15</f>
        <v>0</v>
      </c>
      <c r="AW15" s="481">
        <f>F15*AO15</f>
        <v>0</v>
      </c>
      <c r="AX15" s="481">
        <f>F15*AP15</f>
        <v>0</v>
      </c>
      <c r="AY15" s="483" t="s">
        <v>1261</v>
      </c>
      <c r="AZ15" s="483" t="s">
        <v>287</v>
      </c>
      <c r="BA15" s="456" t="s">
        <v>259</v>
      </c>
      <c r="BC15" s="481">
        <f>AW15+AX15</f>
        <v>0</v>
      </c>
      <c r="BD15" s="481">
        <f>G15/(100-BE15)*100</f>
        <v>0</v>
      </c>
      <c r="BE15" s="481">
        <v>0</v>
      </c>
      <c r="BF15" s="481">
        <f>15</f>
        <v>15</v>
      </c>
      <c r="BH15" s="481">
        <f>F15*AO15</f>
        <v>0</v>
      </c>
      <c r="BI15" s="481">
        <f>F15*AP15</f>
        <v>0</v>
      </c>
      <c r="BJ15" s="481">
        <f>F15*G15</f>
        <v>0</v>
      </c>
      <c r="BK15" s="481"/>
      <c r="BL15" s="481">
        <v>96</v>
      </c>
      <c r="BW15" s="481">
        <v>21</v>
      </c>
      <c r="BX15" s="484" t="s">
        <v>1263</v>
      </c>
    </row>
    <row r="16" spans="1:76" ht="13.5" customHeight="1" x14ac:dyDescent="0.25">
      <c r="A16" s="485"/>
      <c r="B16" s="486" t="s">
        <v>214</v>
      </c>
      <c r="C16" s="487" t="s">
        <v>1264</v>
      </c>
      <c r="D16" s="488"/>
      <c r="E16" s="488"/>
      <c r="F16" s="488"/>
      <c r="G16" s="488"/>
      <c r="H16" s="488"/>
      <c r="I16" s="488"/>
      <c r="J16" s="488"/>
      <c r="K16" s="489"/>
    </row>
    <row r="17" spans="1:76" x14ac:dyDescent="0.25">
      <c r="A17" s="479" t="s">
        <v>262</v>
      </c>
      <c r="B17" s="480" t="s">
        <v>1265</v>
      </c>
      <c r="C17" s="399" t="s">
        <v>1266</v>
      </c>
      <c r="D17" s="395"/>
      <c r="E17" s="480" t="s">
        <v>261</v>
      </c>
      <c r="F17" s="481">
        <v>2</v>
      </c>
      <c r="G17" s="504">
        <v>0</v>
      </c>
      <c r="H17" s="481">
        <f>F17*AO17</f>
        <v>0</v>
      </c>
      <c r="I17" s="481">
        <f>F17*AP17</f>
        <v>0</v>
      </c>
      <c r="J17" s="481">
        <f>F17*G17</f>
        <v>0</v>
      </c>
      <c r="K17" s="482" t="s">
        <v>312</v>
      </c>
      <c r="Z17" s="481">
        <f>IF(AQ17="5",BJ17,0)</f>
        <v>0</v>
      </c>
      <c r="AB17" s="481">
        <f>IF(AQ17="1",BH17,0)</f>
        <v>0</v>
      </c>
      <c r="AC17" s="481">
        <f>IF(AQ17="1",BI17,0)</f>
        <v>0</v>
      </c>
      <c r="AD17" s="481">
        <f>IF(AQ17="7",BH17,0)</f>
        <v>0</v>
      </c>
      <c r="AE17" s="481">
        <f>IF(AQ17="7",BI17,0)</f>
        <v>0</v>
      </c>
      <c r="AF17" s="481">
        <f>IF(AQ17="2",BH17,0)</f>
        <v>0</v>
      </c>
      <c r="AG17" s="481">
        <f>IF(AQ17="2",BI17,0)</f>
        <v>0</v>
      </c>
      <c r="AH17" s="481">
        <f>IF(AQ17="0",BJ17,0)</f>
        <v>0</v>
      </c>
      <c r="AI17" s="456" t="s">
        <v>253</v>
      </c>
      <c r="AJ17" s="481">
        <f>IF(AN17=0,J17,0)</f>
        <v>0</v>
      </c>
      <c r="AK17" s="481">
        <f>IF(AN17=15,J17,0)</f>
        <v>0</v>
      </c>
      <c r="AL17" s="481">
        <f>IF(AN17=21,J17,0)</f>
        <v>0</v>
      </c>
      <c r="AN17" s="481">
        <v>21</v>
      </c>
      <c r="AO17" s="481">
        <f>G17*0.195511265</f>
        <v>0</v>
      </c>
      <c r="AP17" s="481">
        <f>G17*(1-0.195511265)</f>
        <v>0</v>
      </c>
      <c r="AQ17" s="483" t="s">
        <v>254</v>
      </c>
      <c r="AV17" s="481">
        <f>AW17+AX17</f>
        <v>0</v>
      </c>
      <c r="AW17" s="481">
        <f>F17*AO17</f>
        <v>0</v>
      </c>
      <c r="AX17" s="481">
        <f>F17*AP17</f>
        <v>0</v>
      </c>
      <c r="AY17" s="483" t="s">
        <v>1261</v>
      </c>
      <c r="AZ17" s="483" t="s">
        <v>287</v>
      </c>
      <c r="BA17" s="456" t="s">
        <v>259</v>
      </c>
      <c r="BC17" s="481">
        <f>AW17+AX17</f>
        <v>0</v>
      </c>
      <c r="BD17" s="481">
        <f>G17/(100-BE17)*100</f>
        <v>0</v>
      </c>
      <c r="BE17" s="481">
        <v>0</v>
      </c>
      <c r="BF17" s="481">
        <f>17</f>
        <v>17</v>
      </c>
      <c r="BH17" s="481">
        <f>F17*AO17</f>
        <v>0</v>
      </c>
      <c r="BI17" s="481">
        <f>F17*AP17</f>
        <v>0</v>
      </c>
      <c r="BJ17" s="481">
        <f>F17*G17</f>
        <v>0</v>
      </c>
      <c r="BK17" s="481"/>
      <c r="BL17" s="481">
        <v>96</v>
      </c>
      <c r="BW17" s="481">
        <v>21</v>
      </c>
      <c r="BX17" s="484" t="s">
        <v>1266</v>
      </c>
    </row>
    <row r="18" spans="1:76" ht="13.5" customHeight="1" x14ac:dyDescent="0.25">
      <c r="A18" s="485"/>
      <c r="B18" s="486" t="s">
        <v>214</v>
      </c>
      <c r="C18" s="487" t="s">
        <v>1267</v>
      </c>
      <c r="D18" s="488"/>
      <c r="E18" s="488"/>
      <c r="F18" s="488"/>
      <c r="G18" s="488"/>
      <c r="H18" s="488"/>
      <c r="I18" s="488"/>
      <c r="J18" s="488"/>
      <c r="K18" s="489"/>
    </row>
    <row r="19" spans="1:76" x14ac:dyDescent="0.25">
      <c r="A19" s="479" t="s">
        <v>263</v>
      </c>
      <c r="B19" s="480" t="s">
        <v>1268</v>
      </c>
      <c r="C19" s="399" t="s">
        <v>1269</v>
      </c>
      <c r="D19" s="395"/>
      <c r="E19" s="480" t="s">
        <v>261</v>
      </c>
      <c r="F19" s="481">
        <v>2</v>
      </c>
      <c r="G19" s="504">
        <v>0</v>
      </c>
      <c r="H19" s="481">
        <f>F19*AO19</f>
        <v>0</v>
      </c>
      <c r="I19" s="481">
        <f>F19*AP19</f>
        <v>0</v>
      </c>
      <c r="J19" s="481">
        <f>F19*G19</f>
        <v>0</v>
      </c>
      <c r="K19" s="482" t="s">
        <v>312</v>
      </c>
      <c r="Z19" s="481">
        <f>IF(AQ19="5",BJ19,0)</f>
        <v>0</v>
      </c>
      <c r="AB19" s="481">
        <f>IF(AQ19="1",BH19,0)</f>
        <v>0</v>
      </c>
      <c r="AC19" s="481">
        <f>IF(AQ19="1",BI19,0)</f>
        <v>0</v>
      </c>
      <c r="AD19" s="481">
        <f>IF(AQ19="7",BH19,0)</f>
        <v>0</v>
      </c>
      <c r="AE19" s="481">
        <f>IF(AQ19="7",BI19,0)</f>
        <v>0</v>
      </c>
      <c r="AF19" s="481">
        <f>IF(AQ19="2",BH19,0)</f>
        <v>0</v>
      </c>
      <c r="AG19" s="481">
        <f>IF(AQ19="2",BI19,0)</f>
        <v>0</v>
      </c>
      <c r="AH19" s="481">
        <f>IF(AQ19="0",BJ19,0)</f>
        <v>0</v>
      </c>
      <c r="AI19" s="456" t="s">
        <v>253</v>
      </c>
      <c r="AJ19" s="481">
        <f>IF(AN19=0,J19,0)</f>
        <v>0</v>
      </c>
      <c r="AK19" s="481">
        <f>IF(AN19=15,J19,0)</f>
        <v>0</v>
      </c>
      <c r="AL19" s="481">
        <f>IF(AN19=21,J19,0)</f>
        <v>0</v>
      </c>
      <c r="AN19" s="481">
        <v>21</v>
      </c>
      <c r="AO19" s="481">
        <f>G19*0.162100575</f>
        <v>0</v>
      </c>
      <c r="AP19" s="481">
        <f>G19*(1-0.162100575)</f>
        <v>0</v>
      </c>
      <c r="AQ19" s="483" t="s">
        <v>254</v>
      </c>
      <c r="AV19" s="481">
        <f>AW19+AX19</f>
        <v>0</v>
      </c>
      <c r="AW19" s="481">
        <f>F19*AO19</f>
        <v>0</v>
      </c>
      <c r="AX19" s="481">
        <f>F19*AP19</f>
        <v>0</v>
      </c>
      <c r="AY19" s="483" t="s">
        <v>1261</v>
      </c>
      <c r="AZ19" s="483" t="s">
        <v>287</v>
      </c>
      <c r="BA19" s="456" t="s">
        <v>259</v>
      </c>
      <c r="BC19" s="481">
        <f>AW19+AX19</f>
        <v>0</v>
      </c>
      <c r="BD19" s="481">
        <f>G19/(100-BE19)*100</f>
        <v>0</v>
      </c>
      <c r="BE19" s="481">
        <v>0</v>
      </c>
      <c r="BF19" s="481">
        <f>19</f>
        <v>19</v>
      </c>
      <c r="BH19" s="481">
        <f>F19*AO19</f>
        <v>0</v>
      </c>
      <c r="BI19" s="481">
        <f>F19*AP19</f>
        <v>0</v>
      </c>
      <c r="BJ19" s="481">
        <f>F19*G19</f>
        <v>0</v>
      </c>
      <c r="BK19" s="481"/>
      <c r="BL19" s="481">
        <v>96</v>
      </c>
      <c r="BW19" s="481">
        <v>21</v>
      </c>
      <c r="BX19" s="484" t="s">
        <v>1269</v>
      </c>
    </row>
    <row r="20" spans="1:76" ht="13.5" customHeight="1" x14ac:dyDescent="0.25">
      <c r="A20" s="485"/>
      <c r="B20" s="486" t="s">
        <v>214</v>
      </c>
      <c r="C20" s="487" t="s">
        <v>1270</v>
      </c>
      <c r="D20" s="488"/>
      <c r="E20" s="488"/>
      <c r="F20" s="488"/>
      <c r="G20" s="488"/>
      <c r="H20" s="488"/>
      <c r="I20" s="488"/>
      <c r="J20" s="488"/>
      <c r="K20" s="489"/>
    </row>
    <row r="21" spans="1:76" x14ac:dyDescent="0.25">
      <c r="A21" s="473" t="s">
        <v>180</v>
      </c>
      <c r="B21" s="474" t="s">
        <v>288</v>
      </c>
      <c r="C21" s="475" t="s">
        <v>289</v>
      </c>
      <c r="D21" s="476"/>
      <c r="E21" s="477" t="s">
        <v>218</v>
      </c>
      <c r="F21" s="477" t="s">
        <v>218</v>
      </c>
      <c r="G21" s="477" t="s">
        <v>218</v>
      </c>
      <c r="H21" s="446">
        <f>SUM(H22:H23)</f>
        <v>0</v>
      </c>
      <c r="I21" s="446">
        <f>SUM(I22:I23)</f>
        <v>0</v>
      </c>
      <c r="J21" s="446">
        <f>SUM(J22:J23)</f>
        <v>0</v>
      </c>
      <c r="K21" s="478" t="s">
        <v>180</v>
      </c>
      <c r="AI21" s="456" t="s">
        <v>253</v>
      </c>
      <c r="AS21" s="446">
        <f>SUM(AJ22:AJ23)</f>
        <v>0</v>
      </c>
      <c r="AT21" s="446">
        <f>SUM(AK22:AK23)</f>
        <v>0</v>
      </c>
      <c r="AU21" s="446">
        <f>SUM(AL22:AL23)</f>
        <v>0</v>
      </c>
    </row>
    <row r="22" spans="1:76" x14ac:dyDescent="0.25">
      <c r="A22" s="479" t="s">
        <v>264</v>
      </c>
      <c r="B22" s="480" t="s">
        <v>403</v>
      </c>
      <c r="C22" s="399" t="s">
        <v>1271</v>
      </c>
      <c r="D22" s="395"/>
      <c r="E22" s="480" t="s">
        <v>43</v>
      </c>
      <c r="F22" s="481">
        <v>7</v>
      </c>
      <c r="G22" s="504">
        <v>0</v>
      </c>
      <c r="H22" s="481">
        <f>F22*AO22</f>
        <v>0</v>
      </c>
      <c r="I22" s="481">
        <f>F22*AP22</f>
        <v>0</v>
      </c>
      <c r="J22" s="481">
        <f>F22*G22</f>
        <v>0</v>
      </c>
      <c r="K22" s="482" t="s">
        <v>256</v>
      </c>
      <c r="Z22" s="481">
        <f>IF(AQ22="5",BJ22,0)</f>
        <v>0</v>
      </c>
      <c r="AB22" s="481">
        <f>IF(AQ22="1",BH22,0)</f>
        <v>0</v>
      </c>
      <c r="AC22" s="481">
        <f>IF(AQ22="1",BI22,0)</f>
        <v>0</v>
      </c>
      <c r="AD22" s="481">
        <f>IF(AQ22="7",BH22,0)</f>
        <v>0</v>
      </c>
      <c r="AE22" s="481">
        <f>IF(AQ22="7",BI22,0)</f>
        <v>0</v>
      </c>
      <c r="AF22" s="481">
        <f>IF(AQ22="2",BH22,0)</f>
        <v>0</v>
      </c>
      <c r="AG22" s="481">
        <f>IF(AQ22="2",BI22,0)</f>
        <v>0</v>
      </c>
      <c r="AH22" s="481">
        <f>IF(AQ22="0",BJ22,0)</f>
        <v>0</v>
      </c>
      <c r="AI22" s="456" t="s">
        <v>253</v>
      </c>
      <c r="AJ22" s="481">
        <f>IF(AN22=0,J22,0)</f>
        <v>0</v>
      </c>
      <c r="AK22" s="481">
        <f>IF(AN22=15,J22,0)</f>
        <v>0</v>
      </c>
      <c r="AL22" s="481">
        <f>IF(AN22=21,J22,0)</f>
        <v>0</v>
      </c>
      <c r="AN22" s="481">
        <v>21</v>
      </c>
      <c r="AO22" s="481">
        <f>G22*0.010430556</f>
        <v>0</v>
      </c>
      <c r="AP22" s="481">
        <f>G22*(1-0.010430556)</f>
        <v>0</v>
      </c>
      <c r="AQ22" s="483" t="s">
        <v>264</v>
      </c>
      <c r="AV22" s="481">
        <f>AW22+AX22</f>
        <v>0</v>
      </c>
      <c r="AW22" s="481">
        <f>F22*AO22</f>
        <v>0</v>
      </c>
      <c r="AX22" s="481">
        <f>F22*AP22</f>
        <v>0</v>
      </c>
      <c r="AY22" s="483" t="s">
        <v>292</v>
      </c>
      <c r="AZ22" s="483" t="s">
        <v>287</v>
      </c>
      <c r="BA22" s="456" t="s">
        <v>259</v>
      </c>
      <c r="BC22" s="481">
        <f>AW22+AX22</f>
        <v>0</v>
      </c>
      <c r="BD22" s="481">
        <f>G22/(100-BE22)*100</f>
        <v>0</v>
      </c>
      <c r="BE22" s="481">
        <v>0</v>
      </c>
      <c r="BF22" s="481">
        <f>22</f>
        <v>22</v>
      </c>
      <c r="BH22" s="481">
        <f>F22*AO22</f>
        <v>0</v>
      </c>
      <c r="BI22" s="481">
        <f>F22*AP22</f>
        <v>0</v>
      </c>
      <c r="BJ22" s="481">
        <f>F22*G22</f>
        <v>0</v>
      </c>
      <c r="BK22" s="481"/>
      <c r="BL22" s="481"/>
      <c r="BW22" s="481">
        <v>21</v>
      </c>
      <c r="BX22" s="484" t="s">
        <v>1271</v>
      </c>
    </row>
    <row r="23" spans="1:76" x14ac:dyDescent="0.25">
      <c r="A23" s="479" t="s">
        <v>265</v>
      </c>
      <c r="B23" s="480" t="s">
        <v>405</v>
      </c>
      <c r="C23" s="399" t="s">
        <v>406</v>
      </c>
      <c r="D23" s="395"/>
      <c r="E23" s="480" t="s">
        <v>43</v>
      </c>
      <c r="F23" s="481">
        <v>7</v>
      </c>
      <c r="G23" s="504">
        <v>0</v>
      </c>
      <c r="H23" s="481">
        <f>F23*AO23</f>
        <v>0</v>
      </c>
      <c r="I23" s="481">
        <f>F23*AP23</f>
        <v>0</v>
      </c>
      <c r="J23" s="481">
        <f>F23*G23</f>
        <v>0</v>
      </c>
      <c r="K23" s="482" t="s">
        <v>256</v>
      </c>
      <c r="Z23" s="481">
        <f>IF(AQ23="5",BJ23,0)</f>
        <v>0</v>
      </c>
      <c r="AB23" s="481">
        <f>IF(AQ23="1",BH23,0)</f>
        <v>0</v>
      </c>
      <c r="AC23" s="481">
        <f>IF(AQ23="1",BI23,0)</f>
        <v>0</v>
      </c>
      <c r="AD23" s="481">
        <f>IF(AQ23="7",BH23,0)</f>
        <v>0</v>
      </c>
      <c r="AE23" s="481">
        <f>IF(AQ23="7",BI23,0)</f>
        <v>0</v>
      </c>
      <c r="AF23" s="481">
        <f>IF(AQ23="2",BH23,0)</f>
        <v>0</v>
      </c>
      <c r="AG23" s="481">
        <f>IF(AQ23="2",BI23,0)</f>
        <v>0</v>
      </c>
      <c r="AH23" s="481">
        <f>IF(AQ23="0",BJ23,0)</f>
        <v>0</v>
      </c>
      <c r="AI23" s="456" t="s">
        <v>253</v>
      </c>
      <c r="AJ23" s="481">
        <f>IF(AN23=0,J23,0)</f>
        <v>0</v>
      </c>
      <c r="AK23" s="481">
        <f>IF(AN23=15,J23,0)</f>
        <v>0</v>
      </c>
      <c r="AL23" s="481">
        <f>IF(AN23=21,J23,0)</f>
        <v>0</v>
      </c>
      <c r="AN23" s="481">
        <v>21</v>
      </c>
      <c r="AO23" s="481">
        <f>G23*0</f>
        <v>0</v>
      </c>
      <c r="AP23" s="481">
        <f>G23*(1-0)</f>
        <v>0</v>
      </c>
      <c r="AQ23" s="483" t="s">
        <v>264</v>
      </c>
      <c r="AV23" s="481">
        <f>AW23+AX23</f>
        <v>0</v>
      </c>
      <c r="AW23" s="481">
        <f>F23*AO23</f>
        <v>0</v>
      </c>
      <c r="AX23" s="481">
        <f>F23*AP23</f>
        <v>0</v>
      </c>
      <c r="AY23" s="483" t="s">
        <v>292</v>
      </c>
      <c r="AZ23" s="483" t="s">
        <v>287</v>
      </c>
      <c r="BA23" s="456" t="s">
        <v>259</v>
      </c>
      <c r="BC23" s="481">
        <f>AW23+AX23</f>
        <v>0</v>
      </c>
      <c r="BD23" s="481">
        <f>G23/(100-BE23)*100</f>
        <v>0</v>
      </c>
      <c r="BE23" s="481">
        <v>0</v>
      </c>
      <c r="BF23" s="481">
        <f>23</f>
        <v>23</v>
      </c>
      <c r="BH23" s="481">
        <f>F23*AO23</f>
        <v>0</v>
      </c>
      <c r="BI23" s="481">
        <f>F23*AP23</f>
        <v>0</v>
      </c>
      <c r="BJ23" s="481">
        <f>F23*G23</f>
        <v>0</v>
      </c>
      <c r="BK23" s="481"/>
      <c r="BL23" s="481"/>
      <c r="BW23" s="481">
        <v>21</v>
      </c>
      <c r="BX23" s="484" t="s">
        <v>406</v>
      </c>
    </row>
    <row r="24" spans="1:76" x14ac:dyDescent="0.25">
      <c r="A24" s="466" t="s">
        <v>180</v>
      </c>
      <c r="B24" s="467" t="s">
        <v>180</v>
      </c>
      <c r="C24" s="468" t="s">
        <v>1272</v>
      </c>
      <c r="D24" s="469"/>
      <c r="E24" s="470" t="s">
        <v>218</v>
      </c>
      <c r="F24" s="470" t="s">
        <v>218</v>
      </c>
      <c r="G24" s="470" t="s">
        <v>218</v>
      </c>
      <c r="H24" s="471">
        <f>H25+H28+H30</f>
        <v>0</v>
      </c>
      <c r="I24" s="471">
        <f>I25+I28+I30</f>
        <v>0</v>
      </c>
      <c r="J24" s="471">
        <f>J25+J28+J30</f>
        <v>0</v>
      </c>
      <c r="K24" s="472" t="s">
        <v>180</v>
      </c>
    </row>
    <row r="25" spans="1:76" x14ac:dyDescent="0.25">
      <c r="A25" s="473" t="s">
        <v>180</v>
      </c>
      <c r="B25" s="474" t="s">
        <v>1257</v>
      </c>
      <c r="C25" s="475" t="s">
        <v>1258</v>
      </c>
      <c r="D25" s="476"/>
      <c r="E25" s="477" t="s">
        <v>218</v>
      </c>
      <c r="F25" s="477" t="s">
        <v>218</v>
      </c>
      <c r="G25" s="477" t="s">
        <v>218</v>
      </c>
      <c r="H25" s="446">
        <f>SUM(H26:H27)</f>
        <v>0</v>
      </c>
      <c r="I25" s="446">
        <f>SUM(I26:I27)</f>
        <v>0</v>
      </c>
      <c r="J25" s="446">
        <f>SUM(J26:J27)</f>
        <v>0</v>
      </c>
      <c r="K25" s="478" t="s">
        <v>180</v>
      </c>
      <c r="AI25" s="456" t="s">
        <v>297</v>
      </c>
      <c r="AS25" s="446">
        <f>SUM(AJ26:AJ27)</f>
        <v>0</v>
      </c>
      <c r="AT25" s="446">
        <f>SUM(AK26:AK27)</f>
        <v>0</v>
      </c>
      <c r="AU25" s="446">
        <f>SUM(AL26:AL27)</f>
        <v>0</v>
      </c>
    </row>
    <row r="26" spans="1:76" x14ac:dyDescent="0.25">
      <c r="A26" s="479" t="s">
        <v>266</v>
      </c>
      <c r="B26" s="480" t="s">
        <v>1259</v>
      </c>
      <c r="C26" s="399" t="s">
        <v>1273</v>
      </c>
      <c r="D26" s="395"/>
      <c r="E26" s="480" t="s">
        <v>291</v>
      </c>
      <c r="F26" s="481">
        <v>0.9</v>
      </c>
      <c r="G26" s="504">
        <v>0</v>
      </c>
      <c r="H26" s="481">
        <f>F26*AO26</f>
        <v>0</v>
      </c>
      <c r="I26" s="481">
        <f>F26*AP26</f>
        <v>0</v>
      </c>
      <c r="J26" s="481">
        <f>F26*G26</f>
        <v>0</v>
      </c>
      <c r="K26" s="482" t="s">
        <v>256</v>
      </c>
      <c r="Z26" s="481">
        <f>IF(AQ26="5",BJ26,0)</f>
        <v>0</v>
      </c>
      <c r="AB26" s="481">
        <f>IF(AQ26="1",BH26,0)</f>
        <v>0</v>
      </c>
      <c r="AC26" s="481">
        <f>IF(AQ26="1",BI26,0)</f>
        <v>0</v>
      </c>
      <c r="AD26" s="481">
        <f>IF(AQ26="7",BH26,0)</f>
        <v>0</v>
      </c>
      <c r="AE26" s="481">
        <f>IF(AQ26="7",BI26,0)</f>
        <v>0</v>
      </c>
      <c r="AF26" s="481">
        <f>IF(AQ26="2",BH26,0)</f>
        <v>0</v>
      </c>
      <c r="AG26" s="481">
        <f>IF(AQ26="2",BI26,0)</f>
        <v>0</v>
      </c>
      <c r="AH26" s="481">
        <f>IF(AQ26="0",BJ26,0)</f>
        <v>0</v>
      </c>
      <c r="AI26" s="456" t="s">
        <v>297</v>
      </c>
      <c r="AJ26" s="481">
        <f>IF(AN26=0,J26,0)</f>
        <v>0</v>
      </c>
      <c r="AK26" s="481">
        <f>IF(AN26=15,J26,0)</f>
        <v>0</v>
      </c>
      <c r="AL26" s="481">
        <f>IF(AN26=21,J26,0)</f>
        <v>0</v>
      </c>
      <c r="AN26" s="481">
        <v>21</v>
      </c>
      <c r="AO26" s="481">
        <f>G26*0</f>
        <v>0</v>
      </c>
      <c r="AP26" s="481">
        <f>G26*(1-0)</f>
        <v>0</v>
      </c>
      <c r="AQ26" s="483" t="s">
        <v>254</v>
      </c>
      <c r="AV26" s="481">
        <f>AW26+AX26</f>
        <v>0</v>
      </c>
      <c r="AW26" s="481">
        <f>F26*AO26</f>
        <v>0</v>
      </c>
      <c r="AX26" s="481">
        <f>F26*AP26</f>
        <v>0</v>
      </c>
      <c r="AY26" s="483" t="s">
        <v>1261</v>
      </c>
      <c r="AZ26" s="483" t="s">
        <v>316</v>
      </c>
      <c r="BA26" s="456" t="s">
        <v>300</v>
      </c>
      <c r="BC26" s="481">
        <f>AW26+AX26</f>
        <v>0</v>
      </c>
      <c r="BD26" s="481">
        <f>G26/(100-BE26)*100</f>
        <v>0</v>
      </c>
      <c r="BE26" s="481">
        <v>0</v>
      </c>
      <c r="BF26" s="481">
        <f>26</f>
        <v>26</v>
      </c>
      <c r="BH26" s="481">
        <f>F26*AO26</f>
        <v>0</v>
      </c>
      <c r="BI26" s="481">
        <f>F26*AP26</f>
        <v>0</v>
      </c>
      <c r="BJ26" s="481">
        <f>F26*G26</f>
        <v>0</v>
      </c>
      <c r="BK26" s="481"/>
      <c r="BL26" s="481">
        <v>96</v>
      </c>
      <c r="BW26" s="481">
        <v>21</v>
      </c>
      <c r="BX26" s="484" t="s">
        <v>1273</v>
      </c>
    </row>
    <row r="27" spans="1:76" x14ac:dyDescent="0.25">
      <c r="A27" s="479" t="s">
        <v>267</v>
      </c>
      <c r="B27" s="480" t="s">
        <v>1274</v>
      </c>
      <c r="C27" s="399" t="s">
        <v>1275</v>
      </c>
      <c r="D27" s="395"/>
      <c r="E27" s="480" t="s">
        <v>35</v>
      </c>
      <c r="F27" s="481">
        <v>51</v>
      </c>
      <c r="G27" s="504">
        <v>0</v>
      </c>
      <c r="H27" s="481">
        <f>F27*AO27</f>
        <v>0</v>
      </c>
      <c r="I27" s="481">
        <f>F27*AP27</f>
        <v>0</v>
      </c>
      <c r="J27" s="481">
        <f>F27*G27</f>
        <v>0</v>
      </c>
      <c r="K27" s="482" t="s">
        <v>312</v>
      </c>
      <c r="Z27" s="481">
        <f>IF(AQ27="5",BJ27,0)</f>
        <v>0</v>
      </c>
      <c r="AB27" s="481">
        <f>IF(AQ27="1",BH27,0)</f>
        <v>0</v>
      </c>
      <c r="AC27" s="481">
        <f>IF(AQ27="1",BI27,0)</f>
        <v>0</v>
      </c>
      <c r="AD27" s="481">
        <f>IF(AQ27="7",BH27,0)</f>
        <v>0</v>
      </c>
      <c r="AE27" s="481">
        <f>IF(AQ27="7",BI27,0)</f>
        <v>0</v>
      </c>
      <c r="AF27" s="481">
        <f>IF(AQ27="2",BH27,0)</f>
        <v>0</v>
      </c>
      <c r="AG27" s="481">
        <f>IF(AQ27="2",BI27,0)</f>
        <v>0</v>
      </c>
      <c r="AH27" s="481">
        <f>IF(AQ27="0",BJ27,0)</f>
        <v>0</v>
      </c>
      <c r="AI27" s="456" t="s">
        <v>297</v>
      </c>
      <c r="AJ27" s="481">
        <f>IF(AN27=0,J27,0)</f>
        <v>0</v>
      </c>
      <c r="AK27" s="481">
        <f>IF(AN27=15,J27,0)</f>
        <v>0</v>
      </c>
      <c r="AL27" s="481">
        <f>IF(AN27=21,J27,0)</f>
        <v>0</v>
      </c>
      <c r="AN27" s="481">
        <v>21</v>
      </c>
      <c r="AO27" s="481">
        <f>G27*0</f>
        <v>0</v>
      </c>
      <c r="AP27" s="481">
        <f>G27*(1-0)</f>
        <v>0</v>
      </c>
      <c r="AQ27" s="483" t="s">
        <v>254</v>
      </c>
      <c r="AV27" s="481">
        <f>AW27+AX27</f>
        <v>0</v>
      </c>
      <c r="AW27" s="481">
        <f>F27*AO27</f>
        <v>0</v>
      </c>
      <c r="AX27" s="481">
        <f>F27*AP27</f>
        <v>0</v>
      </c>
      <c r="AY27" s="483" t="s">
        <v>1261</v>
      </c>
      <c r="AZ27" s="483" t="s">
        <v>316</v>
      </c>
      <c r="BA27" s="456" t="s">
        <v>300</v>
      </c>
      <c r="BC27" s="481">
        <f>AW27+AX27</f>
        <v>0</v>
      </c>
      <c r="BD27" s="481">
        <f>G27/(100-BE27)*100</f>
        <v>0</v>
      </c>
      <c r="BE27" s="481">
        <v>0</v>
      </c>
      <c r="BF27" s="481">
        <f>27</f>
        <v>27</v>
      </c>
      <c r="BH27" s="481">
        <f>F27*AO27</f>
        <v>0</v>
      </c>
      <c r="BI27" s="481">
        <f>F27*AP27</f>
        <v>0</v>
      </c>
      <c r="BJ27" s="481">
        <f>F27*G27</f>
        <v>0</v>
      </c>
      <c r="BK27" s="481"/>
      <c r="BL27" s="481">
        <v>96</v>
      </c>
      <c r="BW27" s="481">
        <v>21</v>
      </c>
      <c r="BX27" s="484" t="s">
        <v>1275</v>
      </c>
    </row>
    <row r="28" spans="1:76" x14ac:dyDescent="0.25">
      <c r="A28" s="473" t="s">
        <v>180</v>
      </c>
      <c r="B28" s="474" t="s">
        <v>281</v>
      </c>
      <c r="C28" s="475" t="s">
        <v>282</v>
      </c>
      <c r="D28" s="476"/>
      <c r="E28" s="477" t="s">
        <v>218</v>
      </c>
      <c r="F28" s="477" t="s">
        <v>218</v>
      </c>
      <c r="G28" s="477" t="s">
        <v>218</v>
      </c>
      <c r="H28" s="446">
        <f>SUM(H29:H29)</f>
        <v>0</v>
      </c>
      <c r="I28" s="446">
        <f>SUM(I29:I29)</f>
        <v>0</v>
      </c>
      <c r="J28" s="446">
        <f>SUM(J29:J29)</f>
        <v>0</v>
      </c>
      <c r="K28" s="478" t="s">
        <v>180</v>
      </c>
      <c r="AI28" s="456" t="s">
        <v>297</v>
      </c>
      <c r="AS28" s="446">
        <f>SUM(AJ29:AJ29)</f>
        <v>0</v>
      </c>
      <c r="AT28" s="446">
        <f>SUM(AK29:AK29)</f>
        <v>0</v>
      </c>
      <c r="AU28" s="446">
        <f>SUM(AL29:AL29)</f>
        <v>0</v>
      </c>
    </row>
    <row r="29" spans="1:76" x14ac:dyDescent="0.25">
      <c r="A29" s="479" t="s">
        <v>268</v>
      </c>
      <c r="B29" s="480" t="s">
        <v>401</v>
      </c>
      <c r="C29" s="399" t="s">
        <v>402</v>
      </c>
      <c r="D29" s="395"/>
      <c r="E29" s="480" t="s">
        <v>43</v>
      </c>
      <c r="F29" s="481">
        <v>3</v>
      </c>
      <c r="G29" s="504">
        <v>0</v>
      </c>
      <c r="H29" s="481">
        <f>F29*AO29</f>
        <v>0</v>
      </c>
      <c r="I29" s="481">
        <f>F29*AP29</f>
        <v>0</v>
      </c>
      <c r="J29" s="481">
        <f>F29*G29</f>
        <v>0</v>
      </c>
      <c r="K29" s="482" t="s">
        <v>256</v>
      </c>
      <c r="Z29" s="481">
        <f>IF(AQ29="5",BJ29,0)</f>
        <v>0</v>
      </c>
      <c r="AB29" s="481">
        <f>IF(AQ29="1",BH29,0)</f>
        <v>0</v>
      </c>
      <c r="AC29" s="481">
        <f>IF(AQ29="1",BI29,0)</f>
        <v>0</v>
      </c>
      <c r="AD29" s="481">
        <f>IF(AQ29="7",BH29,0)</f>
        <v>0</v>
      </c>
      <c r="AE29" s="481">
        <f>IF(AQ29="7",BI29,0)</f>
        <v>0</v>
      </c>
      <c r="AF29" s="481">
        <f>IF(AQ29="2",BH29,0)</f>
        <v>0</v>
      </c>
      <c r="AG29" s="481">
        <f>IF(AQ29="2",BI29,0)</f>
        <v>0</v>
      </c>
      <c r="AH29" s="481">
        <f>IF(AQ29="0",BJ29,0)</f>
        <v>0</v>
      </c>
      <c r="AI29" s="456" t="s">
        <v>297</v>
      </c>
      <c r="AJ29" s="481">
        <f>IF(AN29=0,J29,0)</f>
        <v>0</v>
      </c>
      <c r="AK29" s="481">
        <f>IF(AN29=15,J29,0)</f>
        <v>0</v>
      </c>
      <c r="AL29" s="481">
        <f>IF(AN29=21,J29,0)</f>
        <v>0</v>
      </c>
      <c r="AN29" s="481">
        <v>21</v>
      </c>
      <c r="AO29" s="481">
        <f>G29*0</f>
        <v>0</v>
      </c>
      <c r="AP29" s="481">
        <f>G29*(1-0)</f>
        <v>0</v>
      </c>
      <c r="AQ29" s="483" t="s">
        <v>264</v>
      </c>
      <c r="AV29" s="481">
        <f>AW29+AX29</f>
        <v>0</v>
      </c>
      <c r="AW29" s="481">
        <f>F29*AO29</f>
        <v>0</v>
      </c>
      <c r="AX29" s="481">
        <f>F29*AP29</f>
        <v>0</v>
      </c>
      <c r="AY29" s="483" t="s">
        <v>286</v>
      </c>
      <c r="AZ29" s="483" t="s">
        <v>316</v>
      </c>
      <c r="BA29" s="456" t="s">
        <v>300</v>
      </c>
      <c r="BC29" s="481">
        <f>AW29+AX29</f>
        <v>0</v>
      </c>
      <c r="BD29" s="481">
        <f>G29/(100-BE29)*100</f>
        <v>0</v>
      </c>
      <c r="BE29" s="481">
        <v>0</v>
      </c>
      <c r="BF29" s="481">
        <f>29</f>
        <v>29</v>
      </c>
      <c r="BH29" s="481">
        <f>F29*AO29</f>
        <v>0</v>
      </c>
      <c r="BI29" s="481">
        <f>F29*AP29</f>
        <v>0</v>
      </c>
      <c r="BJ29" s="481">
        <f>F29*G29</f>
        <v>0</v>
      </c>
      <c r="BK29" s="481"/>
      <c r="BL29" s="481"/>
      <c r="BW29" s="481">
        <v>21</v>
      </c>
      <c r="BX29" s="484" t="s">
        <v>402</v>
      </c>
    </row>
    <row r="30" spans="1:76" x14ac:dyDescent="0.25">
      <c r="A30" s="473" t="s">
        <v>180</v>
      </c>
      <c r="B30" s="474" t="s">
        <v>288</v>
      </c>
      <c r="C30" s="475" t="s">
        <v>289</v>
      </c>
      <c r="D30" s="476"/>
      <c r="E30" s="477" t="s">
        <v>218</v>
      </c>
      <c r="F30" s="477" t="s">
        <v>218</v>
      </c>
      <c r="G30" s="477" t="s">
        <v>218</v>
      </c>
      <c r="H30" s="446">
        <f>SUM(H31:H33)</f>
        <v>0</v>
      </c>
      <c r="I30" s="446">
        <f>SUM(I31:I33)</f>
        <v>0</v>
      </c>
      <c r="J30" s="446">
        <f>SUM(J31:J33)</f>
        <v>0</v>
      </c>
      <c r="K30" s="478" t="s">
        <v>180</v>
      </c>
      <c r="AI30" s="456" t="s">
        <v>297</v>
      </c>
      <c r="AS30" s="446">
        <f>SUM(AJ31:AJ33)</f>
        <v>0</v>
      </c>
      <c r="AT30" s="446">
        <f>SUM(AK31:AK33)</f>
        <v>0</v>
      </c>
      <c r="AU30" s="446">
        <f>SUM(AL31:AL33)</f>
        <v>0</v>
      </c>
    </row>
    <row r="31" spans="1:76" x14ac:dyDescent="0.25">
      <c r="A31" s="479" t="s">
        <v>271</v>
      </c>
      <c r="B31" s="480" t="s">
        <v>403</v>
      </c>
      <c r="C31" s="399" t="s">
        <v>1271</v>
      </c>
      <c r="D31" s="395"/>
      <c r="E31" s="480" t="s">
        <v>43</v>
      </c>
      <c r="F31" s="481">
        <v>3.65</v>
      </c>
      <c r="G31" s="504">
        <v>0</v>
      </c>
      <c r="H31" s="481">
        <f>F31*AO31</f>
        <v>0</v>
      </c>
      <c r="I31" s="481">
        <f>F31*AP31</f>
        <v>0</v>
      </c>
      <c r="J31" s="481">
        <f>F31*G31</f>
        <v>0</v>
      </c>
      <c r="K31" s="482" t="s">
        <v>256</v>
      </c>
      <c r="Z31" s="481">
        <f>IF(AQ31="5",BJ31,0)</f>
        <v>0</v>
      </c>
      <c r="AB31" s="481">
        <f>IF(AQ31="1",BH31,0)</f>
        <v>0</v>
      </c>
      <c r="AC31" s="481">
        <f>IF(AQ31="1",BI31,0)</f>
        <v>0</v>
      </c>
      <c r="AD31" s="481">
        <f>IF(AQ31="7",BH31,0)</f>
        <v>0</v>
      </c>
      <c r="AE31" s="481">
        <f>IF(AQ31="7",BI31,0)</f>
        <v>0</v>
      </c>
      <c r="AF31" s="481">
        <f>IF(AQ31="2",BH31,0)</f>
        <v>0</v>
      </c>
      <c r="AG31" s="481">
        <f>IF(AQ31="2",BI31,0)</f>
        <v>0</v>
      </c>
      <c r="AH31" s="481">
        <f>IF(AQ31="0",BJ31,0)</f>
        <v>0</v>
      </c>
      <c r="AI31" s="456" t="s">
        <v>297</v>
      </c>
      <c r="AJ31" s="481">
        <f>IF(AN31=0,J31,0)</f>
        <v>0</v>
      </c>
      <c r="AK31" s="481">
        <f>IF(AN31=15,J31,0)</f>
        <v>0</v>
      </c>
      <c r="AL31" s="481">
        <f>IF(AN31=21,J31,0)</f>
        <v>0</v>
      </c>
      <c r="AN31" s="481">
        <v>21</v>
      </c>
      <c r="AO31" s="481">
        <f>G31*0.010428571</f>
        <v>0</v>
      </c>
      <c r="AP31" s="481">
        <f>G31*(1-0.010428571)</f>
        <v>0</v>
      </c>
      <c r="AQ31" s="483" t="s">
        <v>264</v>
      </c>
      <c r="AV31" s="481">
        <f>AW31+AX31</f>
        <v>0</v>
      </c>
      <c r="AW31" s="481">
        <f>F31*AO31</f>
        <v>0</v>
      </c>
      <c r="AX31" s="481">
        <f>F31*AP31</f>
        <v>0</v>
      </c>
      <c r="AY31" s="483" t="s">
        <v>292</v>
      </c>
      <c r="AZ31" s="483" t="s">
        <v>316</v>
      </c>
      <c r="BA31" s="456" t="s">
        <v>300</v>
      </c>
      <c r="BC31" s="481">
        <f>AW31+AX31</f>
        <v>0</v>
      </c>
      <c r="BD31" s="481">
        <f>G31/(100-BE31)*100</f>
        <v>0</v>
      </c>
      <c r="BE31" s="481">
        <v>0</v>
      </c>
      <c r="BF31" s="481">
        <f>31</f>
        <v>31</v>
      </c>
      <c r="BH31" s="481">
        <f>F31*AO31</f>
        <v>0</v>
      </c>
      <c r="BI31" s="481">
        <f>F31*AP31</f>
        <v>0</v>
      </c>
      <c r="BJ31" s="481">
        <f>F31*G31</f>
        <v>0</v>
      </c>
      <c r="BK31" s="481"/>
      <c r="BL31" s="481"/>
      <c r="BW31" s="481">
        <v>21</v>
      </c>
      <c r="BX31" s="484" t="s">
        <v>1271</v>
      </c>
    </row>
    <row r="32" spans="1:76" ht="40.5" customHeight="1" x14ac:dyDescent="0.25">
      <c r="A32" s="485"/>
      <c r="B32" s="486" t="s">
        <v>214</v>
      </c>
      <c r="C32" s="487" t="s">
        <v>1325</v>
      </c>
      <c r="D32" s="488"/>
      <c r="E32" s="488"/>
      <c r="F32" s="488"/>
      <c r="G32" s="488"/>
      <c r="H32" s="488"/>
      <c r="I32" s="488"/>
      <c r="J32" s="488"/>
      <c r="K32" s="489"/>
    </row>
    <row r="33" spans="1:76" x14ac:dyDescent="0.25">
      <c r="A33" s="479" t="s">
        <v>251</v>
      </c>
      <c r="B33" s="480" t="s">
        <v>405</v>
      </c>
      <c r="C33" s="399" t="s">
        <v>406</v>
      </c>
      <c r="D33" s="395"/>
      <c r="E33" s="480" t="s">
        <v>43</v>
      </c>
      <c r="F33" s="481">
        <v>3.65</v>
      </c>
      <c r="G33" s="504">
        <v>0</v>
      </c>
      <c r="H33" s="481">
        <f>F33*AO33</f>
        <v>0</v>
      </c>
      <c r="I33" s="481">
        <f>F33*AP33</f>
        <v>0</v>
      </c>
      <c r="J33" s="481">
        <f>F33*G33</f>
        <v>0</v>
      </c>
      <c r="K33" s="482" t="s">
        <v>256</v>
      </c>
      <c r="Z33" s="481">
        <f>IF(AQ33="5",BJ33,0)</f>
        <v>0</v>
      </c>
      <c r="AB33" s="481">
        <f>IF(AQ33="1",BH33,0)</f>
        <v>0</v>
      </c>
      <c r="AC33" s="481">
        <f>IF(AQ33="1",BI33,0)</f>
        <v>0</v>
      </c>
      <c r="AD33" s="481">
        <f>IF(AQ33="7",BH33,0)</f>
        <v>0</v>
      </c>
      <c r="AE33" s="481">
        <f>IF(AQ33="7",BI33,0)</f>
        <v>0</v>
      </c>
      <c r="AF33" s="481">
        <f>IF(AQ33="2",BH33,0)</f>
        <v>0</v>
      </c>
      <c r="AG33" s="481">
        <f>IF(AQ33="2",BI33,0)</f>
        <v>0</v>
      </c>
      <c r="AH33" s="481">
        <f>IF(AQ33="0",BJ33,0)</f>
        <v>0</v>
      </c>
      <c r="AI33" s="456" t="s">
        <v>297</v>
      </c>
      <c r="AJ33" s="481">
        <f>IF(AN33=0,J33,0)</f>
        <v>0</v>
      </c>
      <c r="AK33" s="481">
        <f>IF(AN33=15,J33,0)</f>
        <v>0</v>
      </c>
      <c r="AL33" s="481">
        <f>IF(AN33=21,J33,0)</f>
        <v>0</v>
      </c>
      <c r="AN33" s="481">
        <v>21</v>
      </c>
      <c r="AO33" s="481">
        <f>G33*0</f>
        <v>0</v>
      </c>
      <c r="AP33" s="481">
        <f>G33*(1-0)</f>
        <v>0</v>
      </c>
      <c r="AQ33" s="483" t="s">
        <v>264</v>
      </c>
      <c r="AV33" s="481">
        <f>AW33+AX33</f>
        <v>0</v>
      </c>
      <c r="AW33" s="481">
        <f>F33*AO33</f>
        <v>0</v>
      </c>
      <c r="AX33" s="481">
        <f>F33*AP33</f>
        <v>0</v>
      </c>
      <c r="AY33" s="483" t="s">
        <v>292</v>
      </c>
      <c r="AZ33" s="483" t="s">
        <v>316</v>
      </c>
      <c r="BA33" s="456" t="s">
        <v>300</v>
      </c>
      <c r="BC33" s="481">
        <f>AW33+AX33</f>
        <v>0</v>
      </c>
      <c r="BD33" s="481">
        <f>G33/(100-BE33)*100</f>
        <v>0</v>
      </c>
      <c r="BE33" s="481">
        <v>0</v>
      </c>
      <c r="BF33" s="481">
        <f>33</f>
        <v>33</v>
      </c>
      <c r="BH33" s="481">
        <f>F33*AO33</f>
        <v>0</v>
      </c>
      <c r="BI33" s="481">
        <f>F33*AP33</f>
        <v>0</v>
      </c>
      <c r="BJ33" s="481">
        <f>F33*G33</f>
        <v>0</v>
      </c>
      <c r="BK33" s="481"/>
      <c r="BL33" s="481"/>
      <c r="BW33" s="481">
        <v>21</v>
      </c>
      <c r="BX33" s="484" t="s">
        <v>406</v>
      </c>
    </row>
    <row r="34" spans="1:76" x14ac:dyDescent="0.25">
      <c r="A34" s="466" t="s">
        <v>180</v>
      </c>
      <c r="B34" s="467" t="s">
        <v>180</v>
      </c>
      <c r="C34" s="468" t="s">
        <v>1276</v>
      </c>
      <c r="D34" s="469"/>
      <c r="E34" s="470" t="s">
        <v>218</v>
      </c>
      <c r="F34" s="470" t="s">
        <v>218</v>
      </c>
      <c r="G34" s="470" t="s">
        <v>218</v>
      </c>
      <c r="H34" s="471">
        <f>H35+H37</f>
        <v>0</v>
      </c>
      <c r="I34" s="471">
        <f>I35+I37</f>
        <v>0</v>
      </c>
      <c r="J34" s="471">
        <f>J35+J37</f>
        <v>0</v>
      </c>
      <c r="K34" s="472" t="s">
        <v>180</v>
      </c>
    </row>
    <row r="35" spans="1:76" x14ac:dyDescent="0.25">
      <c r="A35" s="473" t="s">
        <v>180</v>
      </c>
      <c r="B35" s="474" t="s">
        <v>1277</v>
      </c>
      <c r="C35" s="475" t="s">
        <v>1278</v>
      </c>
      <c r="D35" s="476"/>
      <c r="E35" s="477" t="s">
        <v>218</v>
      </c>
      <c r="F35" s="477" t="s">
        <v>218</v>
      </c>
      <c r="G35" s="477" t="s">
        <v>218</v>
      </c>
      <c r="H35" s="446">
        <f>SUM(H36:H36)</f>
        <v>0</v>
      </c>
      <c r="I35" s="446">
        <f>SUM(I36:I36)</f>
        <v>0</v>
      </c>
      <c r="J35" s="446">
        <f>SUM(J36:J36)</f>
        <v>0</v>
      </c>
      <c r="K35" s="478" t="s">
        <v>180</v>
      </c>
      <c r="AI35" s="456" t="s">
        <v>334</v>
      </c>
      <c r="AS35" s="446">
        <f>SUM(AJ36:AJ36)</f>
        <v>0</v>
      </c>
      <c r="AT35" s="446">
        <f>SUM(AK36:AK36)</f>
        <v>0</v>
      </c>
      <c r="AU35" s="446">
        <f>SUM(AL36:AL36)</f>
        <v>0</v>
      </c>
    </row>
    <row r="36" spans="1:76" x14ac:dyDescent="0.25">
      <c r="A36" s="479" t="s">
        <v>273</v>
      </c>
      <c r="B36" s="480" t="s">
        <v>1279</v>
      </c>
      <c r="C36" s="399" t="s">
        <v>1280</v>
      </c>
      <c r="D36" s="395"/>
      <c r="E36" s="480" t="s">
        <v>255</v>
      </c>
      <c r="F36" s="481">
        <v>145</v>
      </c>
      <c r="G36" s="504">
        <v>0</v>
      </c>
      <c r="H36" s="481">
        <f>F36*AO36</f>
        <v>0</v>
      </c>
      <c r="I36" s="481">
        <f>F36*AP36</f>
        <v>0</v>
      </c>
      <c r="J36" s="481">
        <f>F36*G36</f>
        <v>0</v>
      </c>
      <c r="K36" s="482" t="s">
        <v>312</v>
      </c>
      <c r="Z36" s="481">
        <f>IF(AQ36="5",BJ36,0)</f>
        <v>0</v>
      </c>
      <c r="AB36" s="481">
        <f>IF(AQ36="1",BH36,0)</f>
        <v>0</v>
      </c>
      <c r="AC36" s="481">
        <f>IF(AQ36="1",BI36,0)</f>
        <v>0</v>
      </c>
      <c r="AD36" s="481">
        <f>IF(AQ36="7",BH36,0)</f>
        <v>0</v>
      </c>
      <c r="AE36" s="481">
        <f>IF(AQ36="7",BI36,0)</f>
        <v>0</v>
      </c>
      <c r="AF36" s="481">
        <f>IF(AQ36="2",BH36,0)</f>
        <v>0</v>
      </c>
      <c r="AG36" s="481">
        <f>IF(AQ36="2",BI36,0)</f>
        <v>0</v>
      </c>
      <c r="AH36" s="481">
        <f>IF(AQ36="0",BJ36,0)</f>
        <v>0</v>
      </c>
      <c r="AI36" s="456" t="s">
        <v>334</v>
      </c>
      <c r="AJ36" s="481">
        <f>IF(AN36=0,J36,0)</f>
        <v>0</v>
      </c>
      <c r="AK36" s="481">
        <f>IF(AN36=15,J36,0)</f>
        <v>0</v>
      </c>
      <c r="AL36" s="481">
        <f>IF(AN36=21,J36,0)</f>
        <v>0</v>
      </c>
      <c r="AN36" s="481">
        <v>21</v>
      </c>
      <c r="AO36" s="481">
        <f>G36*0.585714286</f>
        <v>0</v>
      </c>
      <c r="AP36" s="481">
        <f>G36*(1-0.585714286)</f>
        <v>0</v>
      </c>
      <c r="AQ36" s="483" t="s">
        <v>266</v>
      </c>
      <c r="AV36" s="481">
        <f>AW36+AX36</f>
        <v>0</v>
      </c>
      <c r="AW36" s="481">
        <f>F36*AO36</f>
        <v>0</v>
      </c>
      <c r="AX36" s="481">
        <f>F36*AP36</f>
        <v>0</v>
      </c>
      <c r="AY36" s="483" t="s">
        <v>1281</v>
      </c>
      <c r="AZ36" s="483" t="s">
        <v>1282</v>
      </c>
      <c r="BA36" s="456" t="s">
        <v>337</v>
      </c>
      <c r="BC36" s="481">
        <f>AW36+AX36</f>
        <v>0</v>
      </c>
      <c r="BD36" s="481">
        <f>G36/(100-BE36)*100</f>
        <v>0</v>
      </c>
      <c r="BE36" s="481">
        <v>0</v>
      </c>
      <c r="BF36" s="481">
        <f>36</f>
        <v>36</v>
      </c>
      <c r="BH36" s="481">
        <f>F36*AO36</f>
        <v>0</v>
      </c>
      <c r="BI36" s="481">
        <f>F36*AP36</f>
        <v>0</v>
      </c>
      <c r="BJ36" s="481">
        <f>F36*G36</f>
        <v>0</v>
      </c>
      <c r="BK36" s="481"/>
      <c r="BL36" s="481">
        <v>711</v>
      </c>
      <c r="BW36" s="481">
        <v>21</v>
      </c>
      <c r="BX36" s="484" t="s">
        <v>1280</v>
      </c>
    </row>
    <row r="37" spans="1:76" x14ac:dyDescent="0.25">
      <c r="A37" s="473" t="s">
        <v>180</v>
      </c>
      <c r="B37" s="474" t="s">
        <v>1283</v>
      </c>
      <c r="C37" s="475" t="s">
        <v>1284</v>
      </c>
      <c r="D37" s="476"/>
      <c r="E37" s="477" t="s">
        <v>218</v>
      </c>
      <c r="F37" s="477" t="s">
        <v>218</v>
      </c>
      <c r="G37" s="477" t="s">
        <v>218</v>
      </c>
      <c r="H37" s="446">
        <f>SUM(H38:H38)</f>
        <v>0</v>
      </c>
      <c r="I37" s="446">
        <f>SUM(I38:I38)</f>
        <v>0</v>
      </c>
      <c r="J37" s="446">
        <f>SUM(J38:J38)</f>
        <v>0</v>
      </c>
      <c r="K37" s="478" t="s">
        <v>180</v>
      </c>
      <c r="AI37" s="456" t="s">
        <v>334</v>
      </c>
      <c r="AS37" s="446">
        <f>SUM(AJ38:AJ38)</f>
        <v>0</v>
      </c>
      <c r="AT37" s="446">
        <f>SUM(AK38:AK38)</f>
        <v>0</v>
      </c>
      <c r="AU37" s="446">
        <f>SUM(AL38:AL38)</f>
        <v>0</v>
      </c>
    </row>
    <row r="38" spans="1:76" x14ac:dyDescent="0.25">
      <c r="A38" s="479" t="s">
        <v>274</v>
      </c>
      <c r="B38" s="480" t="s">
        <v>1285</v>
      </c>
      <c r="C38" s="399" t="s">
        <v>1286</v>
      </c>
      <c r="D38" s="395"/>
      <c r="E38" s="480" t="s">
        <v>255</v>
      </c>
      <c r="F38" s="481">
        <v>145</v>
      </c>
      <c r="G38" s="504">
        <v>0</v>
      </c>
      <c r="H38" s="481">
        <f>F38*AO38</f>
        <v>0</v>
      </c>
      <c r="I38" s="481">
        <f>F38*AP38</f>
        <v>0</v>
      </c>
      <c r="J38" s="481">
        <f>F38*G38</f>
        <v>0</v>
      </c>
      <c r="K38" s="482" t="s">
        <v>312</v>
      </c>
      <c r="Z38" s="481">
        <f>IF(AQ38="5",BJ38,0)</f>
        <v>0</v>
      </c>
      <c r="AB38" s="481">
        <f>IF(AQ38="1",BH38,0)</f>
        <v>0</v>
      </c>
      <c r="AC38" s="481">
        <f>IF(AQ38="1",BI38,0)</f>
        <v>0</v>
      </c>
      <c r="AD38" s="481">
        <f>IF(AQ38="7",BH38,0)</f>
        <v>0</v>
      </c>
      <c r="AE38" s="481">
        <f>IF(AQ38="7",BI38,0)</f>
        <v>0</v>
      </c>
      <c r="AF38" s="481">
        <f>IF(AQ38="2",BH38,0)</f>
        <v>0</v>
      </c>
      <c r="AG38" s="481">
        <f>IF(AQ38="2",BI38,0)</f>
        <v>0</v>
      </c>
      <c r="AH38" s="481">
        <f>IF(AQ38="0",BJ38,0)</f>
        <v>0</v>
      </c>
      <c r="AI38" s="456" t="s">
        <v>334</v>
      </c>
      <c r="AJ38" s="481">
        <f>IF(AN38=0,J38,0)</f>
        <v>0</v>
      </c>
      <c r="AK38" s="481">
        <f>IF(AN38=15,J38,0)</f>
        <v>0</v>
      </c>
      <c r="AL38" s="481">
        <f>IF(AN38=21,J38,0)</f>
        <v>0</v>
      </c>
      <c r="AN38" s="481">
        <v>21</v>
      </c>
      <c r="AO38" s="481">
        <f>G38*0.007236842</f>
        <v>0</v>
      </c>
      <c r="AP38" s="481">
        <f>G38*(1-0.007236842)</f>
        <v>0</v>
      </c>
      <c r="AQ38" s="483" t="s">
        <v>266</v>
      </c>
      <c r="AV38" s="481">
        <f>AW38+AX38</f>
        <v>0</v>
      </c>
      <c r="AW38" s="481">
        <f>F38*AO38</f>
        <v>0</v>
      </c>
      <c r="AX38" s="481">
        <f>F38*AP38</f>
        <v>0</v>
      </c>
      <c r="AY38" s="483" t="s">
        <v>1287</v>
      </c>
      <c r="AZ38" s="483" t="s">
        <v>1288</v>
      </c>
      <c r="BA38" s="456" t="s">
        <v>337</v>
      </c>
      <c r="BC38" s="481">
        <f>AW38+AX38</f>
        <v>0</v>
      </c>
      <c r="BD38" s="481">
        <f>G38/(100-BE38)*100</f>
        <v>0</v>
      </c>
      <c r="BE38" s="481">
        <v>0</v>
      </c>
      <c r="BF38" s="481">
        <f>38</f>
        <v>38</v>
      </c>
      <c r="BH38" s="481">
        <f>F38*AO38</f>
        <v>0</v>
      </c>
      <c r="BI38" s="481">
        <f>F38*AP38</f>
        <v>0</v>
      </c>
      <c r="BJ38" s="481">
        <f>F38*G38</f>
        <v>0</v>
      </c>
      <c r="BK38" s="481"/>
      <c r="BL38" s="481">
        <v>784</v>
      </c>
      <c r="BW38" s="481">
        <v>21</v>
      </c>
      <c r="BX38" s="484" t="s">
        <v>1286</v>
      </c>
    </row>
    <row r="39" spans="1:76" x14ac:dyDescent="0.25">
      <c r="A39" s="466" t="s">
        <v>180</v>
      </c>
      <c r="B39" s="467" t="s">
        <v>180</v>
      </c>
      <c r="C39" s="468" t="s">
        <v>1289</v>
      </c>
      <c r="D39" s="469"/>
      <c r="E39" s="470" t="s">
        <v>218</v>
      </c>
      <c r="F39" s="470" t="s">
        <v>218</v>
      </c>
      <c r="G39" s="470" t="s">
        <v>218</v>
      </c>
      <c r="H39" s="471">
        <f>H40+H42</f>
        <v>0</v>
      </c>
      <c r="I39" s="471">
        <f>I40+I42</f>
        <v>0</v>
      </c>
      <c r="J39" s="471">
        <f>J40+J42</f>
        <v>0</v>
      </c>
      <c r="K39" s="472" t="s">
        <v>180</v>
      </c>
    </row>
    <row r="40" spans="1:76" x14ac:dyDescent="0.25">
      <c r="A40" s="473" t="s">
        <v>180</v>
      </c>
      <c r="B40" s="474" t="s">
        <v>281</v>
      </c>
      <c r="C40" s="475" t="s">
        <v>282</v>
      </c>
      <c r="D40" s="476"/>
      <c r="E40" s="477" t="s">
        <v>218</v>
      </c>
      <c r="F40" s="477" t="s">
        <v>218</v>
      </c>
      <c r="G40" s="477" t="s">
        <v>218</v>
      </c>
      <c r="H40" s="446">
        <f>SUM(H41:H41)</f>
        <v>0</v>
      </c>
      <c r="I40" s="446">
        <f>SUM(I41:I41)</f>
        <v>0</v>
      </c>
      <c r="J40" s="446">
        <f>SUM(J41:J41)</f>
        <v>0</v>
      </c>
      <c r="K40" s="478" t="s">
        <v>180</v>
      </c>
      <c r="AI40" s="456" t="s">
        <v>365</v>
      </c>
      <c r="AS40" s="446">
        <f>SUM(AJ41:AJ41)</f>
        <v>0</v>
      </c>
      <c r="AT40" s="446">
        <f>SUM(AK41:AK41)</f>
        <v>0</v>
      </c>
      <c r="AU40" s="446">
        <f>SUM(AL41:AL41)</f>
        <v>0</v>
      </c>
    </row>
    <row r="41" spans="1:76" x14ac:dyDescent="0.25">
      <c r="A41" s="479" t="s">
        <v>275</v>
      </c>
      <c r="B41" s="480" t="s">
        <v>401</v>
      </c>
      <c r="C41" s="399" t="s">
        <v>493</v>
      </c>
      <c r="D41" s="395"/>
      <c r="E41" s="480" t="s">
        <v>43</v>
      </c>
      <c r="F41" s="481">
        <v>3.5</v>
      </c>
      <c r="G41" s="504">
        <v>0</v>
      </c>
      <c r="H41" s="481">
        <f>F41*AO41</f>
        <v>0</v>
      </c>
      <c r="I41" s="481">
        <f>F41*AP41</f>
        <v>0</v>
      </c>
      <c r="J41" s="481">
        <f>F41*G41</f>
        <v>0</v>
      </c>
      <c r="K41" s="482" t="s">
        <v>256</v>
      </c>
      <c r="Z41" s="481">
        <f>IF(AQ41="5",BJ41,0)</f>
        <v>0</v>
      </c>
      <c r="AB41" s="481">
        <f>IF(AQ41="1",BH41,0)</f>
        <v>0</v>
      </c>
      <c r="AC41" s="481">
        <f>IF(AQ41="1",BI41,0)</f>
        <v>0</v>
      </c>
      <c r="AD41" s="481">
        <f>IF(AQ41="7",BH41,0)</f>
        <v>0</v>
      </c>
      <c r="AE41" s="481">
        <f>IF(AQ41="7",BI41,0)</f>
        <v>0</v>
      </c>
      <c r="AF41" s="481">
        <f>IF(AQ41="2",BH41,0)</f>
        <v>0</v>
      </c>
      <c r="AG41" s="481">
        <f>IF(AQ41="2",BI41,0)</f>
        <v>0</v>
      </c>
      <c r="AH41" s="481">
        <f>IF(AQ41="0",BJ41,0)</f>
        <v>0</v>
      </c>
      <c r="AI41" s="456" t="s">
        <v>365</v>
      </c>
      <c r="AJ41" s="481">
        <f>IF(AN41=0,J41,0)</f>
        <v>0</v>
      </c>
      <c r="AK41" s="481">
        <f>IF(AN41=15,J41,0)</f>
        <v>0</v>
      </c>
      <c r="AL41" s="481">
        <f>IF(AN41=21,J41,0)</f>
        <v>0</v>
      </c>
      <c r="AN41" s="481">
        <v>21</v>
      </c>
      <c r="AO41" s="481">
        <f>G41*0</f>
        <v>0</v>
      </c>
      <c r="AP41" s="481">
        <f>G41*(1-0)</f>
        <v>0</v>
      </c>
      <c r="AQ41" s="483" t="s">
        <v>264</v>
      </c>
      <c r="AV41" s="481">
        <f>AW41+AX41</f>
        <v>0</v>
      </c>
      <c r="AW41" s="481">
        <f>F41*AO41</f>
        <v>0</v>
      </c>
      <c r="AX41" s="481">
        <f>F41*AP41</f>
        <v>0</v>
      </c>
      <c r="AY41" s="483" t="s">
        <v>286</v>
      </c>
      <c r="AZ41" s="483" t="s">
        <v>387</v>
      </c>
      <c r="BA41" s="456" t="s">
        <v>368</v>
      </c>
      <c r="BC41" s="481">
        <f>AW41+AX41</f>
        <v>0</v>
      </c>
      <c r="BD41" s="481">
        <f>G41/(100-BE41)*100</f>
        <v>0</v>
      </c>
      <c r="BE41" s="481">
        <v>0</v>
      </c>
      <c r="BF41" s="481">
        <f>41</f>
        <v>41</v>
      </c>
      <c r="BH41" s="481">
        <f>F41*AO41</f>
        <v>0</v>
      </c>
      <c r="BI41" s="481">
        <f>F41*AP41</f>
        <v>0</v>
      </c>
      <c r="BJ41" s="481">
        <f>F41*G41</f>
        <v>0</v>
      </c>
      <c r="BK41" s="481"/>
      <c r="BL41" s="481"/>
      <c r="BW41" s="481">
        <v>21</v>
      </c>
      <c r="BX41" s="484" t="s">
        <v>493</v>
      </c>
    </row>
    <row r="42" spans="1:76" x14ac:dyDescent="0.25">
      <c r="A42" s="473" t="s">
        <v>180</v>
      </c>
      <c r="B42" s="474" t="s">
        <v>678</v>
      </c>
      <c r="C42" s="475" t="s">
        <v>203</v>
      </c>
      <c r="D42" s="476"/>
      <c r="E42" s="477" t="s">
        <v>218</v>
      </c>
      <c r="F42" s="477" t="s">
        <v>218</v>
      </c>
      <c r="G42" s="477" t="s">
        <v>218</v>
      </c>
      <c r="H42" s="446">
        <f>SUM(H43:H60)</f>
        <v>0</v>
      </c>
      <c r="I42" s="446">
        <f>SUM(I43:I60)</f>
        <v>0</v>
      </c>
      <c r="J42" s="446">
        <f>SUM(J43:J60)</f>
        <v>0</v>
      </c>
      <c r="K42" s="478" t="s">
        <v>180</v>
      </c>
      <c r="AI42" s="456" t="s">
        <v>365</v>
      </c>
      <c r="AS42" s="446">
        <f>SUM(AJ43:AJ60)</f>
        <v>0</v>
      </c>
      <c r="AT42" s="446">
        <f>SUM(AK43:AK60)</f>
        <v>0</v>
      </c>
      <c r="AU42" s="446">
        <f>SUM(AL43:AL60)</f>
        <v>0</v>
      </c>
    </row>
    <row r="43" spans="1:76" x14ac:dyDescent="0.25">
      <c r="A43" s="479" t="s">
        <v>276</v>
      </c>
      <c r="B43" s="480" t="s">
        <v>1290</v>
      </c>
      <c r="C43" s="399" t="s">
        <v>1291</v>
      </c>
      <c r="D43" s="395"/>
      <c r="E43" s="480" t="s">
        <v>261</v>
      </c>
      <c r="F43" s="481">
        <v>17</v>
      </c>
      <c r="G43" s="504">
        <v>0</v>
      </c>
      <c r="H43" s="481">
        <f>F43*AO43</f>
        <v>0</v>
      </c>
      <c r="I43" s="481">
        <f>F43*AP43</f>
        <v>0</v>
      </c>
      <c r="J43" s="481">
        <f>F43*G43</f>
        <v>0</v>
      </c>
      <c r="K43" s="482" t="s">
        <v>256</v>
      </c>
      <c r="Z43" s="481">
        <f>IF(AQ43="5",BJ43,0)</f>
        <v>0</v>
      </c>
      <c r="AB43" s="481">
        <f>IF(AQ43="1",BH43,0)</f>
        <v>0</v>
      </c>
      <c r="AC43" s="481">
        <f>IF(AQ43="1",BI43,0)</f>
        <v>0</v>
      </c>
      <c r="AD43" s="481">
        <f>IF(AQ43="7",BH43,0)</f>
        <v>0</v>
      </c>
      <c r="AE43" s="481">
        <f>IF(AQ43="7",BI43,0)</f>
        <v>0</v>
      </c>
      <c r="AF43" s="481">
        <f>IF(AQ43="2",BH43,0)</f>
        <v>0</v>
      </c>
      <c r="AG43" s="481">
        <f>IF(AQ43="2",BI43,0)</f>
        <v>0</v>
      </c>
      <c r="AH43" s="481">
        <f>IF(AQ43="0",BJ43,0)</f>
        <v>0</v>
      </c>
      <c r="AI43" s="456" t="s">
        <v>365</v>
      </c>
      <c r="AJ43" s="481">
        <f>IF(AN43=0,J43,0)</f>
        <v>0</v>
      </c>
      <c r="AK43" s="481">
        <f>IF(AN43=15,J43,0)</f>
        <v>0</v>
      </c>
      <c r="AL43" s="481">
        <f>IF(AN43=21,J43,0)</f>
        <v>0</v>
      </c>
      <c r="AN43" s="481">
        <v>21</v>
      </c>
      <c r="AO43" s="481">
        <f>G43*1</f>
        <v>0</v>
      </c>
      <c r="AP43" s="481">
        <f>G43*(1-1)</f>
        <v>0</v>
      </c>
      <c r="AQ43" s="483" t="s">
        <v>295</v>
      </c>
      <c r="AV43" s="481">
        <f>AW43+AX43</f>
        <v>0</v>
      </c>
      <c r="AW43" s="481">
        <f>F43*AO43</f>
        <v>0</v>
      </c>
      <c r="AX43" s="481">
        <f>F43*AP43</f>
        <v>0</v>
      </c>
      <c r="AY43" s="483" t="s">
        <v>296</v>
      </c>
      <c r="AZ43" s="483" t="s">
        <v>388</v>
      </c>
      <c r="BA43" s="456" t="s">
        <v>368</v>
      </c>
      <c r="BC43" s="481">
        <f>AW43+AX43</f>
        <v>0</v>
      </c>
      <c r="BD43" s="481">
        <f>G43/(100-BE43)*100</f>
        <v>0</v>
      </c>
      <c r="BE43" s="481">
        <v>0</v>
      </c>
      <c r="BF43" s="481">
        <f>43</f>
        <v>43</v>
      </c>
      <c r="BH43" s="481">
        <f>F43*AO43</f>
        <v>0</v>
      </c>
      <c r="BI43" s="481">
        <f>F43*AP43</f>
        <v>0</v>
      </c>
      <c r="BJ43" s="481">
        <f>F43*G43</f>
        <v>0</v>
      </c>
      <c r="BK43" s="481"/>
      <c r="BL43" s="481"/>
      <c r="BW43" s="481">
        <v>21</v>
      </c>
      <c r="BX43" s="484" t="s">
        <v>1291</v>
      </c>
    </row>
    <row r="44" spans="1:76" ht="40.5" customHeight="1" x14ac:dyDescent="0.25">
      <c r="A44" s="485"/>
      <c r="B44" s="486" t="s">
        <v>214</v>
      </c>
      <c r="C44" s="487" t="s">
        <v>1326</v>
      </c>
      <c r="D44" s="488"/>
      <c r="E44" s="488"/>
      <c r="F44" s="488"/>
      <c r="G44" s="488"/>
      <c r="H44" s="488"/>
      <c r="I44" s="488"/>
      <c r="J44" s="488"/>
      <c r="K44" s="489"/>
    </row>
    <row r="45" spans="1:76" ht="25.5" x14ac:dyDescent="0.25">
      <c r="A45" s="479" t="s">
        <v>269</v>
      </c>
      <c r="B45" s="480" t="s">
        <v>1292</v>
      </c>
      <c r="C45" s="399" t="s">
        <v>1293</v>
      </c>
      <c r="D45" s="395"/>
      <c r="E45" s="480" t="s">
        <v>51</v>
      </c>
      <c r="F45" s="481">
        <v>2</v>
      </c>
      <c r="G45" s="504">
        <v>0</v>
      </c>
      <c r="H45" s="481">
        <f>F45*AO45</f>
        <v>0</v>
      </c>
      <c r="I45" s="481">
        <f>F45*AP45</f>
        <v>0</v>
      </c>
      <c r="J45" s="481">
        <f>F45*G45</f>
        <v>0</v>
      </c>
      <c r="K45" s="482" t="s">
        <v>180</v>
      </c>
      <c r="Z45" s="481">
        <f>IF(AQ45="5",BJ45,0)</f>
        <v>0</v>
      </c>
      <c r="AB45" s="481">
        <f>IF(AQ45="1",BH45,0)</f>
        <v>0</v>
      </c>
      <c r="AC45" s="481">
        <f>IF(AQ45="1",BI45,0)</f>
        <v>0</v>
      </c>
      <c r="AD45" s="481">
        <f>IF(AQ45="7",BH45,0)</f>
        <v>0</v>
      </c>
      <c r="AE45" s="481">
        <f>IF(AQ45="7",BI45,0)</f>
        <v>0</v>
      </c>
      <c r="AF45" s="481">
        <f>IF(AQ45="2",BH45,0)</f>
        <v>0</v>
      </c>
      <c r="AG45" s="481">
        <f>IF(AQ45="2",BI45,0)</f>
        <v>0</v>
      </c>
      <c r="AH45" s="481">
        <f>IF(AQ45="0",BJ45,0)</f>
        <v>0</v>
      </c>
      <c r="AI45" s="456" t="s">
        <v>365</v>
      </c>
      <c r="AJ45" s="481">
        <f>IF(AN45=0,J45,0)</f>
        <v>0</v>
      </c>
      <c r="AK45" s="481">
        <f>IF(AN45=15,J45,0)</f>
        <v>0</v>
      </c>
      <c r="AL45" s="481">
        <f>IF(AN45=21,J45,0)</f>
        <v>0</v>
      </c>
      <c r="AN45" s="481">
        <v>21</v>
      </c>
      <c r="AO45" s="481">
        <f>G45*1</f>
        <v>0</v>
      </c>
      <c r="AP45" s="481">
        <f>G45*(1-1)</f>
        <v>0</v>
      </c>
      <c r="AQ45" s="483" t="s">
        <v>295</v>
      </c>
      <c r="AV45" s="481">
        <f>AW45+AX45</f>
        <v>0</v>
      </c>
      <c r="AW45" s="481">
        <f>F45*AO45</f>
        <v>0</v>
      </c>
      <c r="AX45" s="481">
        <f>F45*AP45</f>
        <v>0</v>
      </c>
      <c r="AY45" s="483" t="s">
        <v>296</v>
      </c>
      <c r="AZ45" s="483" t="s">
        <v>388</v>
      </c>
      <c r="BA45" s="456" t="s">
        <v>368</v>
      </c>
      <c r="BC45" s="481">
        <f>AW45+AX45</f>
        <v>0</v>
      </c>
      <c r="BD45" s="481">
        <f>G45/(100-BE45)*100</f>
        <v>0</v>
      </c>
      <c r="BE45" s="481">
        <v>0</v>
      </c>
      <c r="BF45" s="481">
        <f>45</f>
        <v>45</v>
      </c>
      <c r="BH45" s="481">
        <f>F45*AO45</f>
        <v>0</v>
      </c>
      <c r="BI45" s="481">
        <f>F45*AP45</f>
        <v>0</v>
      </c>
      <c r="BJ45" s="481">
        <f>F45*G45</f>
        <v>0</v>
      </c>
      <c r="BK45" s="481"/>
      <c r="BL45" s="481"/>
      <c r="BW45" s="481">
        <v>21</v>
      </c>
      <c r="BX45" s="484" t="s">
        <v>1293</v>
      </c>
    </row>
    <row r="46" spans="1:76" ht="40.5" customHeight="1" x14ac:dyDescent="0.25">
      <c r="A46" s="485"/>
      <c r="B46" s="486" t="s">
        <v>214</v>
      </c>
      <c r="C46" s="487" t="s">
        <v>1294</v>
      </c>
      <c r="D46" s="488"/>
      <c r="E46" s="488"/>
      <c r="F46" s="488"/>
      <c r="G46" s="488"/>
      <c r="H46" s="488"/>
      <c r="I46" s="488"/>
      <c r="J46" s="488"/>
      <c r="K46" s="489"/>
    </row>
    <row r="47" spans="1:76" x14ac:dyDescent="0.25">
      <c r="A47" s="479" t="s">
        <v>277</v>
      </c>
      <c r="B47" s="480" t="s">
        <v>1295</v>
      </c>
      <c r="C47" s="399" t="s">
        <v>1296</v>
      </c>
      <c r="D47" s="395"/>
      <c r="E47" s="480" t="s">
        <v>261</v>
      </c>
      <c r="F47" s="481">
        <v>4</v>
      </c>
      <c r="G47" s="504">
        <v>0</v>
      </c>
      <c r="H47" s="481">
        <f>F47*AO47</f>
        <v>0</v>
      </c>
      <c r="I47" s="481">
        <f>F47*AP47</f>
        <v>0</v>
      </c>
      <c r="J47" s="481">
        <f>F47*G47</f>
        <v>0</v>
      </c>
      <c r="K47" s="482" t="s">
        <v>312</v>
      </c>
      <c r="Z47" s="481">
        <f>IF(AQ47="5",BJ47,0)</f>
        <v>0</v>
      </c>
      <c r="AB47" s="481">
        <f>IF(AQ47="1",BH47,0)</f>
        <v>0</v>
      </c>
      <c r="AC47" s="481">
        <f>IF(AQ47="1",BI47,0)</f>
        <v>0</v>
      </c>
      <c r="AD47" s="481">
        <f>IF(AQ47="7",BH47,0)</f>
        <v>0</v>
      </c>
      <c r="AE47" s="481">
        <f>IF(AQ47="7",BI47,0)</f>
        <v>0</v>
      </c>
      <c r="AF47" s="481">
        <f>IF(AQ47="2",BH47,0)</f>
        <v>0</v>
      </c>
      <c r="AG47" s="481">
        <f>IF(AQ47="2",BI47,0)</f>
        <v>0</v>
      </c>
      <c r="AH47" s="481">
        <f>IF(AQ47="0",BJ47,0)</f>
        <v>0</v>
      </c>
      <c r="AI47" s="456" t="s">
        <v>365</v>
      </c>
      <c r="AJ47" s="481">
        <f>IF(AN47=0,J47,0)</f>
        <v>0</v>
      </c>
      <c r="AK47" s="481">
        <f>IF(AN47=15,J47,0)</f>
        <v>0</v>
      </c>
      <c r="AL47" s="481">
        <f>IF(AN47=21,J47,0)</f>
        <v>0</v>
      </c>
      <c r="AN47" s="481">
        <v>21</v>
      </c>
      <c r="AO47" s="481">
        <f>G47*1</f>
        <v>0</v>
      </c>
      <c r="AP47" s="481">
        <f>G47*(1-1)</f>
        <v>0</v>
      </c>
      <c r="AQ47" s="483" t="s">
        <v>295</v>
      </c>
      <c r="AV47" s="481">
        <f>AW47+AX47</f>
        <v>0</v>
      </c>
      <c r="AW47" s="481">
        <f>F47*AO47</f>
        <v>0</v>
      </c>
      <c r="AX47" s="481">
        <f>F47*AP47</f>
        <v>0</v>
      </c>
      <c r="AY47" s="483" t="s">
        <v>296</v>
      </c>
      <c r="AZ47" s="483" t="s">
        <v>388</v>
      </c>
      <c r="BA47" s="456" t="s">
        <v>368</v>
      </c>
      <c r="BC47" s="481">
        <f>AW47+AX47</f>
        <v>0</v>
      </c>
      <c r="BD47" s="481">
        <f>G47/(100-BE47)*100</f>
        <v>0</v>
      </c>
      <c r="BE47" s="481">
        <v>0</v>
      </c>
      <c r="BF47" s="481">
        <f>47</f>
        <v>47</v>
      </c>
      <c r="BH47" s="481">
        <f>F47*AO47</f>
        <v>0</v>
      </c>
      <c r="BI47" s="481">
        <f>F47*AP47</f>
        <v>0</v>
      </c>
      <c r="BJ47" s="481">
        <f>F47*G47</f>
        <v>0</v>
      </c>
      <c r="BK47" s="481"/>
      <c r="BL47" s="481"/>
      <c r="BW47" s="481">
        <v>21</v>
      </c>
      <c r="BX47" s="484" t="s">
        <v>1296</v>
      </c>
    </row>
    <row r="48" spans="1:76" ht="27" customHeight="1" x14ac:dyDescent="0.25">
      <c r="A48" s="485"/>
      <c r="B48" s="486" t="s">
        <v>214</v>
      </c>
      <c r="C48" s="487" t="s">
        <v>1297</v>
      </c>
      <c r="D48" s="488"/>
      <c r="E48" s="488"/>
      <c r="F48" s="488"/>
      <c r="G48" s="488"/>
      <c r="H48" s="488"/>
      <c r="I48" s="488"/>
      <c r="J48" s="488"/>
      <c r="K48" s="489"/>
    </row>
    <row r="49" spans="1:76" x14ac:dyDescent="0.25">
      <c r="A49" s="479" t="s">
        <v>279</v>
      </c>
      <c r="B49" s="480" t="s">
        <v>1298</v>
      </c>
      <c r="C49" s="399" t="s">
        <v>1299</v>
      </c>
      <c r="D49" s="395"/>
      <c r="E49" s="480" t="s">
        <v>51</v>
      </c>
      <c r="F49" s="481">
        <v>2</v>
      </c>
      <c r="G49" s="504">
        <v>0</v>
      </c>
      <c r="H49" s="481">
        <f>F49*AO49</f>
        <v>0</v>
      </c>
      <c r="I49" s="481">
        <f>F49*AP49</f>
        <v>0</v>
      </c>
      <c r="J49" s="481">
        <f>F49*G49</f>
        <v>0</v>
      </c>
      <c r="K49" s="482" t="s">
        <v>180</v>
      </c>
      <c r="Z49" s="481">
        <f>IF(AQ49="5",BJ49,0)</f>
        <v>0</v>
      </c>
      <c r="AB49" s="481">
        <f>IF(AQ49="1",BH49,0)</f>
        <v>0</v>
      </c>
      <c r="AC49" s="481">
        <f>IF(AQ49="1",BI49,0)</f>
        <v>0</v>
      </c>
      <c r="AD49" s="481">
        <f>IF(AQ49="7",BH49,0)</f>
        <v>0</v>
      </c>
      <c r="AE49" s="481">
        <f>IF(AQ49="7",BI49,0)</f>
        <v>0</v>
      </c>
      <c r="AF49" s="481">
        <f>IF(AQ49="2",BH49,0)</f>
        <v>0</v>
      </c>
      <c r="AG49" s="481">
        <f>IF(AQ49="2",BI49,0)</f>
        <v>0</v>
      </c>
      <c r="AH49" s="481">
        <f>IF(AQ49="0",BJ49,0)</f>
        <v>0</v>
      </c>
      <c r="AI49" s="456" t="s">
        <v>365</v>
      </c>
      <c r="AJ49" s="481">
        <f>IF(AN49=0,J49,0)</f>
        <v>0</v>
      </c>
      <c r="AK49" s="481">
        <f>IF(AN49=15,J49,0)</f>
        <v>0</v>
      </c>
      <c r="AL49" s="481">
        <f>IF(AN49=21,J49,0)</f>
        <v>0</v>
      </c>
      <c r="AN49" s="481">
        <v>21</v>
      </c>
      <c r="AO49" s="481">
        <f>G49*1</f>
        <v>0</v>
      </c>
      <c r="AP49" s="481">
        <f>G49*(1-1)</f>
        <v>0</v>
      </c>
      <c r="AQ49" s="483" t="s">
        <v>295</v>
      </c>
      <c r="AV49" s="481">
        <f>AW49+AX49</f>
        <v>0</v>
      </c>
      <c r="AW49" s="481">
        <f>F49*AO49</f>
        <v>0</v>
      </c>
      <c r="AX49" s="481">
        <f>F49*AP49</f>
        <v>0</v>
      </c>
      <c r="AY49" s="483" t="s">
        <v>296</v>
      </c>
      <c r="AZ49" s="483" t="s">
        <v>388</v>
      </c>
      <c r="BA49" s="456" t="s">
        <v>368</v>
      </c>
      <c r="BC49" s="481">
        <f>AW49+AX49</f>
        <v>0</v>
      </c>
      <c r="BD49" s="481">
        <f>G49/(100-BE49)*100</f>
        <v>0</v>
      </c>
      <c r="BE49" s="481">
        <v>0</v>
      </c>
      <c r="BF49" s="481">
        <f>49</f>
        <v>49</v>
      </c>
      <c r="BH49" s="481">
        <f>F49*AO49</f>
        <v>0</v>
      </c>
      <c r="BI49" s="481">
        <f>F49*AP49</f>
        <v>0</v>
      </c>
      <c r="BJ49" s="481">
        <f>F49*G49</f>
        <v>0</v>
      </c>
      <c r="BK49" s="481"/>
      <c r="BL49" s="481"/>
      <c r="BW49" s="481">
        <v>21</v>
      </c>
      <c r="BX49" s="484" t="s">
        <v>1299</v>
      </c>
    </row>
    <row r="50" spans="1:76" ht="27" customHeight="1" x14ac:dyDescent="0.25">
      <c r="A50" s="485"/>
      <c r="B50" s="486" t="s">
        <v>214</v>
      </c>
      <c r="C50" s="487" t="s">
        <v>1300</v>
      </c>
      <c r="D50" s="488"/>
      <c r="E50" s="488"/>
      <c r="F50" s="488"/>
      <c r="G50" s="488"/>
      <c r="H50" s="488"/>
      <c r="I50" s="488"/>
      <c r="J50" s="488"/>
      <c r="K50" s="489"/>
    </row>
    <row r="51" spans="1:76" x14ac:dyDescent="0.25">
      <c r="A51" s="479" t="s">
        <v>280</v>
      </c>
      <c r="B51" s="480" t="s">
        <v>1290</v>
      </c>
      <c r="C51" s="399" t="s">
        <v>1301</v>
      </c>
      <c r="D51" s="395"/>
      <c r="E51" s="480" t="s">
        <v>261</v>
      </c>
      <c r="F51" s="481">
        <v>1</v>
      </c>
      <c r="G51" s="504">
        <v>0</v>
      </c>
      <c r="H51" s="481">
        <f>F51*AO51</f>
        <v>0</v>
      </c>
      <c r="I51" s="481">
        <f>F51*AP51</f>
        <v>0</v>
      </c>
      <c r="J51" s="481">
        <f>F51*G51</f>
        <v>0</v>
      </c>
      <c r="K51" s="482" t="s">
        <v>256</v>
      </c>
      <c r="Z51" s="481">
        <f>IF(AQ51="5",BJ51,0)</f>
        <v>0</v>
      </c>
      <c r="AB51" s="481">
        <f>IF(AQ51="1",BH51,0)</f>
        <v>0</v>
      </c>
      <c r="AC51" s="481">
        <f>IF(AQ51="1",BI51,0)</f>
        <v>0</v>
      </c>
      <c r="AD51" s="481">
        <f>IF(AQ51="7",BH51,0)</f>
        <v>0</v>
      </c>
      <c r="AE51" s="481">
        <f>IF(AQ51="7",BI51,0)</f>
        <v>0</v>
      </c>
      <c r="AF51" s="481">
        <f>IF(AQ51="2",BH51,0)</f>
        <v>0</v>
      </c>
      <c r="AG51" s="481">
        <f>IF(AQ51="2",BI51,0)</f>
        <v>0</v>
      </c>
      <c r="AH51" s="481">
        <f>IF(AQ51="0",BJ51,0)</f>
        <v>0</v>
      </c>
      <c r="AI51" s="456" t="s">
        <v>365</v>
      </c>
      <c r="AJ51" s="481">
        <f>IF(AN51=0,J51,0)</f>
        <v>0</v>
      </c>
      <c r="AK51" s="481">
        <f>IF(AN51=15,J51,0)</f>
        <v>0</v>
      </c>
      <c r="AL51" s="481">
        <f>IF(AN51=21,J51,0)</f>
        <v>0</v>
      </c>
      <c r="AN51" s="481">
        <v>21</v>
      </c>
      <c r="AO51" s="481">
        <f>G51*1</f>
        <v>0</v>
      </c>
      <c r="AP51" s="481">
        <f>G51*(1-1)</f>
        <v>0</v>
      </c>
      <c r="AQ51" s="483" t="s">
        <v>295</v>
      </c>
      <c r="AV51" s="481">
        <f>AW51+AX51</f>
        <v>0</v>
      </c>
      <c r="AW51" s="481">
        <f>F51*AO51</f>
        <v>0</v>
      </c>
      <c r="AX51" s="481">
        <f>F51*AP51</f>
        <v>0</v>
      </c>
      <c r="AY51" s="483" t="s">
        <v>296</v>
      </c>
      <c r="AZ51" s="483" t="s">
        <v>388</v>
      </c>
      <c r="BA51" s="456" t="s">
        <v>368</v>
      </c>
      <c r="BC51" s="481">
        <f>AW51+AX51</f>
        <v>0</v>
      </c>
      <c r="BD51" s="481">
        <f>G51/(100-BE51)*100</f>
        <v>0</v>
      </c>
      <c r="BE51" s="481">
        <v>0</v>
      </c>
      <c r="BF51" s="481">
        <f>51</f>
        <v>51</v>
      </c>
      <c r="BH51" s="481">
        <f>F51*AO51</f>
        <v>0</v>
      </c>
      <c r="BI51" s="481">
        <f>F51*AP51</f>
        <v>0</v>
      </c>
      <c r="BJ51" s="481">
        <f>F51*G51</f>
        <v>0</v>
      </c>
      <c r="BK51" s="481"/>
      <c r="BL51" s="481"/>
      <c r="BW51" s="481">
        <v>21</v>
      </c>
      <c r="BX51" s="484" t="s">
        <v>1301</v>
      </c>
    </row>
    <row r="52" spans="1:76" ht="27" customHeight="1" x14ac:dyDescent="0.25">
      <c r="A52" s="485"/>
      <c r="B52" s="486" t="s">
        <v>214</v>
      </c>
      <c r="C52" s="487" t="s">
        <v>1327</v>
      </c>
      <c r="D52" s="488"/>
      <c r="E52" s="488"/>
      <c r="F52" s="488"/>
      <c r="G52" s="488"/>
      <c r="H52" s="488"/>
      <c r="I52" s="488"/>
      <c r="J52" s="488"/>
      <c r="K52" s="489"/>
    </row>
    <row r="53" spans="1:76" x14ac:dyDescent="0.25">
      <c r="A53" s="479" t="s">
        <v>283</v>
      </c>
      <c r="B53" s="480" t="s">
        <v>488</v>
      </c>
      <c r="C53" s="399" t="s">
        <v>1302</v>
      </c>
      <c r="D53" s="395"/>
      <c r="E53" s="480" t="s">
        <v>51</v>
      </c>
      <c r="F53" s="481">
        <v>1</v>
      </c>
      <c r="G53" s="504">
        <v>0</v>
      </c>
      <c r="H53" s="481">
        <f>F53*AO53</f>
        <v>0</v>
      </c>
      <c r="I53" s="481">
        <f>F53*AP53</f>
        <v>0</v>
      </c>
      <c r="J53" s="481">
        <f>F53*G53</f>
        <v>0</v>
      </c>
      <c r="K53" s="482" t="s">
        <v>180</v>
      </c>
      <c r="Z53" s="481">
        <f>IF(AQ53="5",BJ53,0)</f>
        <v>0</v>
      </c>
      <c r="AB53" s="481">
        <f>IF(AQ53="1",BH53,0)</f>
        <v>0</v>
      </c>
      <c r="AC53" s="481">
        <f>IF(AQ53="1",BI53,0)</f>
        <v>0</v>
      </c>
      <c r="AD53" s="481">
        <f>IF(AQ53="7",BH53,0)</f>
        <v>0</v>
      </c>
      <c r="AE53" s="481">
        <f>IF(AQ53="7",BI53,0)</f>
        <v>0</v>
      </c>
      <c r="AF53" s="481">
        <f>IF(AQ53="2",BH53,0)</f>
        <v>0</v>
      </c>
      <c r="AG53" s="481">
        <f>IF(AQ53="2",BI53,0)</f>
        <v>0</v>
      </c>
      <c r="AH53" s="481">
        <f>IF(AQ53="0",BJ53,0)</f>
        <v>0</v>
      </c>
      <c r="AI53" s="456" t="s">
        <v>365</v>
      </c>
      <c r="AJ53" s="481">
        <f>IF(AN53=0,J53,0)</f>
        <v>0</v>
      </c>
      <c r="AK53" s="481">
        <f>IF(AN53=15,J53,0)</f>
        <v>0</v>
      </c>
      <c r="AL53" s="481">
        <f>IF(AN53=21,J53,0)</f>
        <v>0</v>
      </c>
      <c r="AN53" s="481">
        <v>21</v>
      </c>
      <c r="AO53" s="481">
        <f>G53*1</f>
        <v>0</v>
      </c>
      <c r="AP53" s="481">
        <f>G53*(1-1)</f>
        <v>0</v>
      </c>
      <c r="AQ53" s="483" t="s">
        <v>295</v>
      </c>
      <c r="AV53" s="481">
        <f>AW53+AX53</f>
        <v>0</v>
      </c>
      <c r="AW53" s="481">
        <f>F53*AO53</f>
        <v>0</v>
      </c>
      <c r="AX53" s="481">
        <f>F53*AP53</f>
        <v>0</v>
      </c>
      <c r="AY53" s="483" t="s">
        <v>296</v>
      </c>
      <c r="AZ53" s="483" t="s">
        <v>388</v>
      </c>
      <c r="BA53" s="456" t="s">
        <v>368</v>
      </c>
      <c r="BC53" s="481">
        <f>AW53+AX53</f>
        <v>0</v>
      </c>
      <c r="BD53" s="481">
        <f>G53/(100-BE53)*100</f>
        <v>0</v>
      </c>
      <c r="BE53" s="481">
        <v>0</v>
      </c>
      <c r="BF53" s="481">
        <f>53</f>
        <v>53</v>
      </c>
      <c r="BH53" s="481">
        <f>F53*AO53</f>
        <v>0</v>
      </c>
      <c r="BI53" s="481">
        <f>F53*AP53</f>
        <v>0</v>
      </c>
      <c r="BJ53" s="481">
        <f>F53*G53</f>
        <v>0</v>
      </c>
      <c r="BK53" s="481"/>
      <c r="BL53" s="481"/>
      <c r="BW53" s="481">
        <v>21</v>
      </c>
      <c r="BX53" s="484" t="s">
        <v>1302</v>
      </c>
    </row>
    <row r="54" spans="1:76" x14ac:dyDescent="0.25">
      <c r="A54" s="479" t="s">
        <v>290</v>
      </c>
      <c r="B54" s="480" t="s">
        <v>1303</v>
      </c>
      <c r="C54" s="399" t="s">
        <v>1304</v>
      </c>
      <c r="D54" s="395"/>
      <c r="E54" s="480" t="s">
        <v>261</v>
      </c>
      <c r="F54" s="481">
        <v>40</v>
      </c>
      <c r="G54" s="504">
        <v>0</v>
      </c>
      <c r="H54" s="481">
        <f>F54*AO54</f>
        <v>0</v>
      </c>
      <c r="I54" s="481">
        <f>F54*AP54</f>
        <v>0</v>
      </c>
      <c r="J54" s="481">
        <f>F54*G54</f>
        <v>0</v>
      </c>
      <c r="K54" s="482" t="s">
        <v>256</v>
      </c>
      <c r="Z54" s="481">
        <f>IF(AQ54="5",BJ54,0)</f>
        <v>0</v>
      </c>
      <c r="AB54" s="481">
        <f>IF(AQ54="1",BH54,0)</f>
        <v>0</v>
      </c>
      <c r="AC54" s="481">
        <f>IF(AQ54="1",BI54,0)</f>
        <v>0</v>
      </c>
      <c r="AD54" s="481">
        <f>IF(AQ54="7",BH54,0)</f>
        <v>0</v>
      </c>
      <c r="AE54" s="481">
        <f>IF(AQ54="7",BI54,0)</f>
        <v>0</v>
      </c>
      <c r="AF54" s="481">
        <f>IF(AQ54="2",BH54,0)</f>
        <v>0</v>
      </c>
      <c r="AG54" s="481">
        <f>IF(AQ54="2",BI54,0)</f>
        <v>0</v>
      </c>
      <c r="AH54" s="481">
        <f>IF(AQ54="0",BJ54,0)</f>
        <v>0</v>
      </c>
      <c r="AI54" s="456" t="s">
        <v>365</v>
      </c>
      <c r="AJ54" s="481">
        <f>IF(AN54=0,J54,0)</f>
        <v>0</v>
      </c>
      <c r="AK54" s="481">
        <f>IF(AN54=15,J54,0)</f>
        <v>0</v>
      </c>
      <c r="AL54" s="481">
        <f>IF(AN54=21,J54,0)</f>
        <v>0</v>
      </c>
      <c r="AN54" s="481">
        <v>21</v>
      </c>
      <c r="AO54" s="481">
        <f>G54*1</f>
        <v>0</v>
      </c>
      <c r="AP54" s="481">
        <f>G54*(1-1)</f>
        <v>0</v>
      </c>
      <c r="AQ54" s="483" t="s">
        <v>295</v>
      </c>
      <c r="AV54" s="481">
        <f>AW54+AX54</f>
        <v>0</v>
      </c>
      <c r="AW54" s="481">
        <f>F54*AO54</f>
        <v>0</v>
      </c>
      <c r="AX54" s="481">
        <f>F54*AP54</f>
        <v>0</v>
      </c>
      <c r="AY54" s="483" t="s">
        <v>296</v>
      </c>
      <c r="AZ54" s="483" t="s">
        <v>388</v>
      </c>
      <c r="BA54" s="456" t="s">
        <v>368</v>
      </c>
      <c r="BC54" s="481">
        <f>AW54+AX54</f>
        <v>0</v>
      </c>
      <c r="BD54" s="481">
        <f>G54/(100-BE54)*100</f>
        <v>0</v>
      </c>
      <c r="BE54" s="481">
        <v>0</v>
      </c>
      <c r="BF54" s="481">
        <f>54</f>
        <v>54</v>
      </c>
      <c r="BH54" s="481">
        <f>F54*AO54</f>
        <v>0</v>
      </c>
      <c r="BI54" s="481">
        <f>F54*AP54</f>
        <v>0</v>
      </c>
      <c r="BJ54" s="481">
        <f>F54*G54</f>
        <v>0</v>
      </c>
      <c r="BK54" s="481"/>
      <c r="BL54" s="481"/>
      <c r="BW54" s="481">
        <v>21</v>
      </c>
      <c r="BX54" s="484" t="s">
        <v>1304</v>
      </c>
    </row>
    <row r="55" spans="1:76" ht="40.5" customHeight="1" x14ac:dyDescent="0.25">
      <c r="A55" s="485"/>
      <c r="B55" s="486" t="s">
        <v>214</v>
      </c>
      <c r="C55" s="487" t="s">
        <v>1305</v>
      </c>
      <c r="D55" s="488"/>
      <c r="E55" s="488"/>
      <c r="F55" s="488"/>
      <c r="G55" s="488"/>
      <c r="H55" s="488"/>
      <c r="I55" s="488"/>
      <c r="J55" s="488"/>
      <c r="K55" s="489"/>
    </row>
    <row r="56" spans="1:76" x14ac:dyDescent="0.25">
      <c r="A56" s="479" t="s">
        <v>293</v>
      </c>
      <c r="B56" s="480" t="s">
        <v>1303</v>
      </c>
      <c r="C56" s="399" t="s">
        <v>1306</v>
      </c>
      <c r="D56" s="395"/>
      <c r="E56" s="480" t="s">
        <v>261</v>
      </c>
      <c r="F56" s="481">
        <v>11</v>
      </c>
      <c r="G56" s="504">
        <v>0</v>
      </c>
      <c r="H56" s="481">
        <f>F56*AO56</f>
        <v>0</v>
      </c>
      <c r="I56" s="481">
        <f>F56*AP56</f>
        <v>0</v>
      </c>
      <c r="J56" s="481">
        <f>F56*G56</f>
        <v>0</v>
      </c>
      <c r="K56" s="482" t="s">
        <v>256</v>
      </c>
      <c r="Z56" s="481">
        <f>IF(AQ56="5",BJ56,0)</f>
        <v>0</v>
      </c>
      <c r="AB56" s="481">
        <f>IF(AQ56="1",BH56,0)</f>
        <v>0</v>
      </c>
      <c r="AC56" s="481">
        <f>IF(AQ56="1",BI56,0)</f>
        <v>0</v>
      </c>
      <c r="AD56" s="481">
        <f>IF(AQ56="7",BH56,0)</f>
        <v>0</v>
      </c>
      <c r="AE56" s="481">
        <f>IF(AQ56="7",BI56,0)</f>
        <v>0</v>
      </c>
      <c r="AF56" s="481">
        <f>IF(AQ56="2",BH56,0)</f>
        <v>0</v>
      </c>
      <c r="AG56" s="481">
        <f>IF(AQ56="2",BI56,0)</f>
        <v>0</v>
      </c>
      <c r="AH56" s="481">
        <f>IF(AQ56="0",BJ56,0)</f>
        <v>0</v>
      </c>
      <c r="AI56" s="456" t="s">
        <v>365</v>
      </c>
      <c r="AJ56" s="481">
        <f>IF(AN56=0,J56,0)</f>
        <v>0</v>
      </c>
      <c r="AK56" s="481">
        <f>IF(AN56=15,J56,0)</f>
        <v>0</v>
      </c>
      <c r="AL56" s="481">
        <f>IF(AN56=21,J56,0)</f>
        <v>0</v>
      </c>
      <c r="AN56" s="481">
        <v>21</v>
      </c>
      <c r="AO56" s="481">
        <f>G56*1</f>
        <v>0</v>
      </c>
      <c r="AP56" s="481">
        <f>G56*(1-1)</f>
        <v>0</v>
      </c>
      <c r="AQ56" s="483" t="s">
        <v>295</v>
      </c>
      <c r="AV56" s="481">
        <f>AW56+AX56</f>
        <v>0</v>
      </c>
      <c r="AW56" s="481">
        <f>F56*AO56</f>
        <v>0</v>
      </c>
      <c r="AX56" s="481">
        <f>F56*AP56</f>
        <v>0</v>
      </c>
      <c r="AY56" s="483" t="s">
        <v>296</v>
      </c>
      <c r="AZ56" s="483" t="s">
        <v>388</v>
      </c>
      <c r="BA56" s="456" t="s">
        <v>368</v>
      </c>
      <c r="BC56" s="481">
        <f>AW56+AX56</f>
        <v>0</v>
      </c>
      <c r="BD56" s="481">
        <f>G56/(100-BE56)*100</f>
        <v>0</v>
      </c>
      <c r="BE56" s="481">
        <v>0</v>
      </c>
      <c r="BF56" s="481">
        <f>56</f>
        <v>56</v>
      </c>
      <c r="BH56" s="481">
        <f>F56*AO56</f>
        <v>0</v>
      </c>
      <c r="BI56" s="481">
        <f>F56*AP56</f>
        <v>0</v>
      </c>
      <c r="BJ56" s="481">
        <f>F56*G56</f>
        <v>0</v>
      </c>
      <c r="BK56" s="481"/>
      <c r="BL56" s="481"/>
      <c r="BW56" s="481">
        <v>21</v>
      </c>
      <c r="BX56" s="484" t="s">
        <v>1306</v>
      </c>
    </row>
    <row r="57" spans="1:76" ht="40.5" customHeight="1" x14ac:dyDescent="0.25">
      <c r="A57" s="485"/>
      <c r="B57" s="486" t="s">
        <v>214</v>
      </c>
      <c r="C57" s="487" t="s">
        <v>1307</v>
      </c>
      <c r="D57" s="488"/>
      <c r="E57" s="488"/>
      <c r="F57" s="488"/>
      <c r="G57" s="488"/>
      <c r="H57" s="488"/>
      <c r="I57" s="488"/>
      <c r="J57" s="488"/>
      <c r="K57" s="489"/>
    </row>
    <row r="58" spans="1:76" x14ac:dyDescent="0.25">
      <c r="A58" s="479" t="s">
        <v>294</v>
      </c>
      <c r="B58" s="480" t="s">
        <v>1303</v>
      </c>
      <c r="C58" s="399" t="s">
        <v>1308</v>
      </c>
      <c r="D58" s="395"/>
      <c r="E58" s="480" t="s">
        <v>261</v>
      </c>
      <c r="F58" s="481">
        <v>1</v>
      </c>
      <c r="G58" s="504">
        <v>0</v>
      </c>
      <c r="H58" s="481">
        <f>F58*AO58</f>
        <v>0</v>
      </c>
      <c r="I58" s="481">
        <f>F58*AP58</f>
        <v>0</v>
      </c>
      <c r="J58" s="481">
        <f>F58*G58</f>
        <v>0</v>
      </c>
      <c r="K58" s="482" t="s">
        <v>256</v>
      </c>
      <c r="Z58" s="481">
        <f>IF(AQ58="5",BJ58,0)</f>
        <v>0</v>
      </c>
      <c r="AB58" s="481">
        <f>IF(AQ58="1",BH58,0)</f>
        <v>0</v>
      </c>
      <c r="AC58" s="481">
        <f>IF(AQ58="1",BI58,0)</f>
        <v>0</v>
      </c>
      <c r="AD58" s="481">
        <f>IF(AQ58="7",BH58,0)</f>
        <v>0</v>
      </c>
      <c r="AE58" s="481">
        <f>IF(AQ58="7",BI58,0)</f>
        <v>0</v>
      </c>
      <c r="AF58" s="481">
        <f>IF(AQ58="2",BH58,0)</f>
        <v>0</v>
      </c>
      <c r="AG58" s="481">
        <f>IF(AQ58="2",BI58,0)</f>
        <v>0</v>
      </c>
      <c r="AH58" s="481">
        <f>IF(AQ58="0",BJ58,0)</f>
        <v>0</v>
      </c>
      <c r="AI58" s="456" t="s">
        <v>365</v>
      </c>
      <c r="AJ58" s="481">
        <f>IF(AN58=0,J58,0)</f>
        <v>0</v>
      </c>
      <c r="AK58" s="481">
        <f>IF(AN58=15,J58,0)</f>
        <v>0</v>
      </c>
      <c r="AL58" s="481">
        <f>IF(AN58=21,J58,0)</f>
        <v>0</v>
      </c>
      <c r="AN58" s="481">
        <v>21</v>
      </c>
      <c r="AO58" s="481">
        <f>G58*1</f>
        <v>0</v>
      </c>
      <c r="AP58" s="481">
        <f>G58*(1-1)</f>
        <v>0</v>
      </c>
      <c r="AQ58" s="483" t="s">
        <v>295</v>
      </c>
      <c r="AV58" s="481">
        <f>AW58+AX58</f>
        <v>0</v>
      </c>
      <c r="AW58" s="481">
        <f>F58*AO58</f>
        <v>0</v>
      </c>
      <c r="AX58" s="481">
        <f>F58*AP58</f>
        <v>0</v>
      </c>
      <c r="AY58" s="483" t="s">
        <v>296</v>
      </c>
      <c r="AZ58" s="483" t="s">
        <v>388</v>
      </c>
      <c r="BA58" s="456" t="s">
        <v>368</v>
      </c>
      <c r="BC58" s="481">
        <f>AW58+AX58</f>
        <v>0</v>
      </c>
      <c r="BD58" s="481">
        <f>G58/(100-BE58)*100</f>
        <v>0</v>
      </c>
      <c r="BE58" s="481">
        <v>0</v>
      </c>
      <c r="BF58" s="481">
        <f>58</f>
        <v>58</v>
      </c>
      <c r="BH58" s="481">
        <f>F58*AO58</f>
        <v>0</v>
      </c>
      <c r="BI58" s="481">
        <f>F58*AP58</f>
        <v>0</v>
      </c>
      <c r="BJ58" s="481">
        <f>F58*G58</f>
        <v>0</v>
      </c>
      <c r="BK58" s="481"/>
      <c r="BL58" s="481"/>
      <c r="BW58" s="481">
        <v>21</v>
      </c>
      <c r="BX58" s="484" t="s">
        <v>1308</v>
      </c>
    </row>
    <row r="59" spans="1:76" ht="94.5" customHeight="1" x14ac:dyDescent="0.25">
      <c r="A59" s="485"/>
      <c r="B59" s="486" t="s">
        <v>214</v>
      </c>
      <c r="C59" s="487" t="s">
        <v>1309</v>
      </c>
      <c r="D59" s="488"/>
      <c r="E59" s="488"/>
      <c r="F59" s="488"/>
      <c r="G59" s="488"/>
      <c r="H59" s="488"/>
      <c r="I59" s="488"/>
      <c r="J59" s="488"/>
      <c r="K59" s="489"/>
    </row>
    <row r="60" spans="1:76" x14ac:dyDescent="0.25">
      <c r="A60" s="496" t="s">
        <v>298</v>
      </c>
      <c r="B60" s="497" t="s">
        <v>1310</v>
      </c>
      <c r="C60" s="498" t="s">
        <v>1311</v>
      </c>
      <c r="D60" s="403"/>
      <c r="E60" s="497" t="s">
        <v>51</v>
      </c>
      <c r="F60" s="499">
        <v>1</v>
      </c>
      <c r="G60" s="505">
        <v>0</v>
      </c>
      <c r="H60" s="499">
        <f>F60*AO60</f>
        <v>0</v>
      </c>
      <c r="I60" s="499">
        <f>F60*AP60</f>
        <v>0</v>
      </c>
      <c r="J60" s="499">
        <f>F60*G60</f>
        <v>0</v>
      </c>
      <c r="K60" s="500" t="s">
        <v>180</v>
      </c>
      <c r="Z60" s="481">
        <f>IF(AQ60="5",BJ60,0)</f>
        <v>0</v>
      </c>
      <c r="AB60" s="481">
        <f>IF(AQ60="1",BH60,0)</f>
        <v>0</v>
      </c>
      <c r="AC60" s="481">
        <f>IF(AQ60="1",BI60,0)</f>
        <v>0</v>
      </c>
      <c r="AD60" s="481">
        <f>IF(AQ60="7",BH60,0)</f>
        <v>0</v>
      </c>
      <c r="AE60" s="481">
        <f>IF(AQ60="7",BI60,0)</f>
        <v>0</v>
      </c>
      <c r="AF60" s="481">
        <f>IF(AQ60="2",BH60,0)</f>
        <v>0</v>
      </c>
      <c r="AG60" s="481">
        <f>IF(AQ60="2",BI60,0)</f>
        <v>0</v>
      </c>
      <c r="AH60" s="481">
        <f>IF(AQ60="0",BJ60,0)</f>
        <v>0</v>
      </c>
      <c r="AI60" s="456" t="s">
        <v>365</v>
      </c>
      <c r="AJ60" s="481">
        <f>IF(AN60=0,J60,0)</f>
        <v>0</v>
      </c>
      <c r="AK60" s="481">
        <f>IF(AN60=15,J60,0)</f>
        <v>0</v>
      </c>
      <c r="AL60" s="481">
        <f>IF(AN60=21,J60,0)</f>
        <v>0</v>
      </c>
      <c r="AN60" s="481">
        <v>21</v>
      </c>
      <c r="AO60" s="481">
        <f>G60*1</f>
        <v>0</v>
      </c>
      <c r="AP60" s="481">
        <f>G60*(1-1)</f>
        <v>0</v>
      </c>
      <c r="AQ60" s="483" t="s">
        <v>295</v>
      </c>
      <c r="AV60" s="481">
        <f>AW60+AX60</f>
        <v>0</v>
      </c>
      <c r="AW60" s="481">
        <f>F60*AO60</f>
        <v>0</v>
      </c>
      <c r="AX60" s="481">
        <f>F60*AP60</f>
        <v>0</v>
      </c>
      <c r="AY60" s="483" t="s">
        <v>296</v>
      </c>
      <c r="AZ60" s="483" t="s">
        <v>388</v>
      </c>
      <c r="BA60" s="456" t="s">
        <v>368</v>
      </c>
      <c r="BC60" s="481">
        <f>AW60+AX60</f>
        <v>0</v>
      </c>
      <c r="BD60" s="481">
        <f>G60/(100-BE60)*100</f>
        <v>0</v>
      </c>
      <c r="BE60" s="481">
        <v>0</v>
      </c>
      <c r="BF60" s="481">
        <f>60</f>
        <v>60</v>
      </c>
      <c r="BH60" s="481">
        <f>F60*AO60</f>
        <v>0</v>
      </c>
      <c r="BI60" s="481">
        <f>F60*AP60</f>
        <v>0</v>
      </c>
      <c r="BJ60" s="481">
        <f>F60*G60</f>
        <v>0</v>
      </c>
      <c r="BK60" s="481"/>
      <c r="BL60" s="481"/>
      <c r="BW60" s="481">
        <v>21</v>
      </c>
      <c r="BX60" s="484" t="s">
        <v>1311</v>
      </c>
    </row>
    <row r="61" spans="1:76" x14ac:dyDescent="0.25">
      <c r="H61" s="396" t="s">
        <v>395</v>
      </c>
      <c r="I61" s="396"/>
      <c r="J61" s="495">
        <f>J13+J21+J25+J28+J30+J35+J37+J40+J42</f>
        <v>0</v>
      </c>
    </row>
    <row r="62" spans="1:76" x14ac:dyDescent="0.25">
      <c r="A62" s="445" t="s">
        <v>214</v>
      </c>
    </row>
    <row r="63" spans="1:76" ht="12.75" customHeight="1" x14ac:dyDescent="0.25">
      <c r="A63" s="399" t="s">
        <v>180</v>
      </c>
      <c r="B63" s="395"/>
      <c r="C63" s="395"/>
      <c r="D63" s="395"/>
      <c r="E63" s="395"/>
      <c r="F63" s="395"/>
      <c r="G63" s="395"/>
      <c r="H63" s="395"/>
      <c r="I63" s="395"/>
      <c r="J63" s="395"/>
      <c r="K63" s="395"/>
    </row>
  </sheetData>
  <sheetProtection algorithmName="SHA-512" hashValue="uErSKg2xLKd6O6T8H7UDMGEUlxxXv7xpnb8PjALJwAraGbT6Jz9jPn8YpUKawsMo9VL96thGu4EQjby0KWPLOQ==" saltValue="P8TB2BEwviGxo5bDrbxm1A==" spinCount="100000" sheet="1" objects="1" scenarios="1"/>
  <mergeCells count="79">
    <mergeCell ref="C57:K57"/>
    <mergeCell ref="C58:D58"/>
    <mergeCell ref="C59:K59"/>
    <mergeCell ref="C60:D60"/>
    <mergeCell ref="H61:I61"/>
    <mergeCell ref="A63:K63"/>
    <mergeCell ref="C51:D51"/>
    <mergeCell ref="C52:K52"/>
    <mergeCell ref="C53:D53"/>
    <mergeCell ref="C54:D54"/>
    <mergeCell ref="C55:K55"/>
    <mergeCell ref="C56:D56"/>
    <mergeCell ref="C45:D45"/>
    <mergeCell ref="C46:K46"/>
    <mergeCell ref="C47:D47"/>
    <mergeCell ref="C48:K48"/>
    <mergeCell ref="C49:D49"/>
    <mergeCell ref="C50:K50"/>
    <mergeCell ref="C39:D39"/>
    <mergeCell ref="C40:D40"/>
    <mergeCell ref="C41:D41"/>
    <mergeCell ref="C42:D42"/>
    <mergeCell ref="C43:D43"/>
    <mergeCell ref="C44:K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K32"/>
    <mergeCell ref="C21:D21"/>
    <mergeCell ref="C22:D22"/>
    <mergeCell ref="C23:D23"/>
    <mergeCell ref="C24:D24"/>
    <mergeCell ref="C25:D25"/>
    <mergeCell ref="C26:D26"/>
    <mergeCell ref="C15:D15"/>
    <mergeCell ref="C16:K16"/>
    <mergeCell ref="C17:D17"/>
    <mergeCell ref="C18:K18"/>
    <mergeCell ref="C19:D19"/>
    <mergeCell ref="C20:K20"/>
    <mergeCell ref="C10:D10"/>
    <mergeCell ref="H10:J10"/>
    <mergeCell ref="C11:D11"/>
    <mergeCell ref="C12:D12"/>
    <mergeCell ref="C13:D13"/>
    <mergeCell ref="C14:D14"/>
    <mergeCell ref="A8:B9"/>
    <mergeCell ref="C8:D9"/>
    <mergeCell ref="E8:F9"/>
    <mergeCell ref="G8:G9"/>
    <mergeCell ref="H8:H9"/>
    <mergeCell ref="I8:K9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I4:K5"/>
    <mergeCell ref="A1:K1"/>
    <mergeCell ref="A2:B3"/>
    <mergeCell ref="C2:D3"/>
    <mergeCell ref="E2:F3"/>
    <mergeCell ref="G2:G3"/>
    <mergeCell ref="H2:H3"/>
    <mergeCell ref="I2:K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2B6F-E0F6-4C3F-B3B7-8BE394099AAD}">
  <dimension ref="A1:F50"/>
  <sheetViews>
    <sheetView topLeftCell="A24" workbookViewId="0">
      <selection activeCell="H49" sqref="H49"/>
    </sheetView>
  </sheetViews>
  <sheetFormatPr defaultColWidth="8.7109375" defaultRowHeight="16.5" x14ac:dyDescent="0.3"/>
  <cols>
    <col min="1" max="1" width="76.140625" style="89" customWidth="1"/>
    <col min="2" max="2" width="13.5703125" style="122" customWidth="1"/>
    <col min="3" max="3" width="13.5703125" style="123" customWidth="1"/>
    <col min="4" max="4" width="10.28515625" style="89" bestFit="1" customWidth="1"/>
    <col min="5" max="5" width="17.7109375" style="89" customWidth="1"/>
    <col min="6" max="16384" width="8.7109375" style="89"/>
  </cols>
  <sheetData>
    <row r="1" spans="1:6" ht="40.15" customHeight="1" thickBot="1" x14ac:dyDescent="0.35">
      <c r="A1" s="378" t="s">
        <v>134</v>
      </c>
      <c r="B1" s="379"/>
      <c r="C1" s="379"/>
      <c r="D1" s="379"/>
      <c r="E1" s="380"/>
    </row>
    <row r="2" spans="1:6" ht="18" customHeight="1" thickBot="1" x14ac:dyDescent="0.35">
      <c r="A2" s="90" t="s">
        <v>135</v>
      </c>
      <c r="B2" s="91"/>
      <c r="C2" s="91"/>
      <c r="D2" s="91"/>
      <c r="E2" s="92"/>
    </row>
    <row r="3" spans="1:6" x14ac:dyDescent="0.3">
      <c r="A3" s="276" t="s">
        <v>136</v>
      </c>
      <c r="B3" s="277" t="s">
        <v>137</v>
      </c>
      <c r="C3" s="277" t="s">
        <v>138</v>
      </c>
      <c r="D3" s="278" t="s">
        <v>139</v>
      </c>
      <c r="E3" s="279" t="s">
        <v>140</v>
      </c>
    </row>
    <row r="4" spans="1:6" ht="22.9" customHeight="1" x14ac:dyDescent="0.3">
      <c r="A4" s="93" t="s">
        <v>141</v>
      </c>
      <c r="B4" s="94"/>
      <c r="C4" s="94"/>
      <c r="D4" s="95"/>
      <c r="E4" s="96">
        <f>SUM(E5:E19)</f>
        <v>0</v>
      </c>
    </row>
    <row r="5" spans="1:6" ht="21.6" customHeight="1" x14ac:dyDescent="0.3">
      <c r="A5" s="97" t="s">
        <v>142</v>
      </c>
      <c r="B5" s="98" t="s">
        <v>51</v>
      </c>
      <c r="C5" s="79">
        <v>6</v>
      </c>
      <c r="D5" s="506"/>
      <c r="E5" s="99">
        <f>D5*C5</f>
        <v>0</v>
      </c>
    </row>
    <row r="6" spans="1:6" ht="21.6" customHeight="1" x14ac:dyDescent="0.3">
      <c r="A6" s="97" t="s">
        <v>1182</v>
      </c>
      <c r="B6" s="98" t="s">
        <v>51</v>
      </c>
      <c r="C6" s="79">
        <v>6</v>
      </c>
      <c r="D6" s="506"/>
      <c r="E6" s="99">
        <f>D6*C6</f>
        <v>0</v>
      </c>
    </row>
    <row r="7" spans="1:6" ht="21.6" customHeight="1" x14ac:dyDescent="0.3">
      <c r="A7" s="97" t="s">
        <v>143</v>
      </c>
      <c r="B7" s="98" t="s">
        <v>51</v>
      </c>
      <c r="C7" s="79">
        <v>3</v>
      </c>
      <c r="D7" s="506"/>
      <c r="E7" s="99">
        <f>D7*C7</f>
        <v>0</v>
      </c>
    </row>
    <row r="8" spans="1:6" ht="43.9" customHeight="1" x14ac:dyDescent="0.3">
      <c r="A8" s="100" t="s">
        <v>1183</v>
      </c>
      <c r="B8" s="98" t="s">
        <v>51</v>
      </c>
      <c r="C8" s="79">
        <v>7</v>
      </c>
      <c r="D8" s="506"/>
      <c r="E8" s="99">
        <f t="shared" ref="E8:E41" si="0">D8*C8</f>
        <v>0</v>
      </c>
    </row>
    <row r="9" spans="1:6" ht="22.15" customHeight="1" x14ac:dyDescent="0.3">
      <c r="A9" s="97" t="s">
        <v>144</v>
      </c>
      <c r="B9" s="98" t="s">
        <v>51</v>
      </c>
      <c r="C9" s="79">
        <v>7</v>
      </c>
      <c r="D9" s="506"/>
      <c r="E9" s="99">
        <f t="shared" si="0"/>
        <v>0</v>
      </c>
    </row>
    <row r="10" spans="1:6" ht="22.15" customHeight="1" x14ac:dyDescent="0.3">
      <c r="A10" s="97" t="s">
        <v>145</v>
      </c>
      <c r="B10" s="98" t="s">
        <v>51</v>
      </c>
      <c r="C10" s="79">
        <v>7</v>
      </c>
      <c r="D10" s="506"/>
      <c r="E10" s="99">
        <f t="shared" si="0"/>
        <v>0</v>
      </c>
    </row>
    <row r="11" spans="1:6" ht="36.6" customHeight="1" x14ac:dyDescent="0.3">
      <c r="A11" s="100" t="s">
        <v>1184</v>
      </c>
      <c r="B11" s="98" t="s">
        <v>51</v>
      </c>
      <c r="C11" s="79">
        <v>1</v>
      </c>
      <c r="D11" s="506"/>
      <c r="E11" s="99">
        <f t="shared" si="0"/>
        <v>0</v>
      </c>
    </row>
    <row r="12" spans="1:6" ht="21.6" customHeight="1" x14ac:dyDescent="0.3">
      <c r="A12" s="97" t="s">
        <v>146</v>
      </c>
      <c r="B12" s="98" t="s">
        <v>51</v>
      </c>
      <c r="C12" s="79">
        <v>1</v>
      </c>
      <c r="D12" s="506"/>
      <c r="E12" s="99">
        <f t="shared" si="0"/>
        <v>0</v>
      </c>
    </row>
    <row r="13" spans="1:6" ht="30.6" customHeight="1" x14ac:dyDescent="0.3">
      <c r="A13" s="280" t="s">
        <v>1185</v>
      </c>
      <c r="B13" s="98" t="s">
        <v>51</v>
      </c>
      <c r="C13" s="79">
        <v>13</v>
      </c>
      <c r="D13" s="506"/>
      <c r="E13" s="99">
        <f t="shared" si="0"/>
        <v>0</v>
      </c>
    </row>
    <row r="14" spans="1:6" ht="21.6" customHeight="1" x14ac:dyDescent="0.3">
      <c r="A14" s="97" t="s">
        <v>147</v>
      </c>
      <c r="B14" s="98" t="s">
        <v>51</v>
      </c>
      <c r="C14" s="79">
        <v>13</v>
      </c>
      <c r="D14" s="506"/>
      <c r="E14" s="99">
        <f t="shared" si="0"/>
        <v>0</v>
      </c>
    </row>
    <row r="15" spans="1:6" ht="21.6" customHeight="1" x14ac:dyDescent="0.3">
      <c r="A15" s="97" t="s">
        <v>148</v>
      </c>
      <c r="B15" s="98" t="s">
        <v>51</v>
      </c>
      <c r="C15" s="79">
        <v>2</v>
      </c>
      <c r="D15" s="506"/>
      <c r="E15" s="99">
        <f t="shared" si="0"/>
        <v>0</v>
      </c>
      <c r="F15" s="101"/>
    </row>
    <row r="16" spans="1:6" ht="21.6" customHeight="1" x14ac:dyDescent="0.3">
      <c r="A16" s="97" t="s">
        <v>149</v>
      </c>
      <c r="B16" s="98" t="s">
        <v>51</v>
      </c>
      <c r="C16" s="79">
        <v>2</v>
      </c>
      <c r="D16" s="506"/>
      <c r="E16" s="99">
        <f t="shared" si="0"/>
        <v>0</v>
      </c>
    </row>
    <row r="17" spans="1:5" ht="21.6" customHeight="1" x14ac:dyDescent="0.3">
      <c r="A17" s="97" t="s">
        <v>1186</v>
      </c>
      <c r="B17" s="98" t="s">
        <v>51</v>
      </c>
      <c r="C17" s="79">
        <v>8</v>
      </c>
      <c r="D17" s="506"/>
      <c r="E17" s="99">
        <f t="shared" si="0"/>
        <v>0</v>
      </c>
    </row>
    <row r="18" spans="1:5" ht="21.6" customHeight="1" x14ac:dyDescent="0.3">
      <c r="A18" s="102" t="s">
        <v>150</v>
      </c>
      <c r="B18" s="98" t="s">
        <v>51</v>
      </c>
      <c r="C18" s="98">
        <f>C8+C11+C13+C15</f>
        <v>23</v>
      </c>
      <c r="D18" s="506"/>
      <c r="E18" s="99">
        <f t="shared" si="0"/>
        <v>0</v>
      </c>
    </row>
    <row r="19" spans="1:5" ht="21.6" customHeight="1" x14ac:dyDescent="0.3">
      <c r="A19" s="102" t="s">
        <v>151</v>
      </c>
      <c r="B19" s="98" t="s">
        <v>51</v>
      </c>
      <c r="C19" s="98">
        <f>C11+C8+C5</f>
        <v>14</v>
      </c>
      <c r="D19" s="506"/>
      <c r="E19" s="99">
        <f t="shared" si="0"/>
        <v>0</v>
      </c>
    </row>
    <row r="20" spans="1:5" ht="21.6" customHeight="1" x14ac:dyDescent="0.3">
      <c r="A20" s="93" t="s">
        <v>152</v>
      </c>
      <c r="B20" s="94"/>
      <c r="C20" s="94"/>
      <c r="D20" s="103"/>
      <c r="E20" s="96">
        <f>SUM(E21:E32)</f>
        <v>0</v>
      </c>
    </row>
    <row r="21" spans="1:5" ht="21.6" customHeight="1" x14ac:dyDescent="0.3">
      <c r="A21" s="104" t="s">
        <v>153</v>
      </c>
      <c r="B21" s="105" t="s">
        <v>35</v>
      </c>
      <c r="C21" s="105">
        <v>30</v>
      </c>
      <c r="D21" s="507"/>
      <c r="E21" s="106">
        <f>D21*C21</f>
        <v>0</v>
      </c>
    </row>
    <row r="22" spans="1:5" ht="21.6" customHeight="1" x14ac:dyDescent="0.3">
      <c r="A22" s="104" t="s">
        <v>154</v>
      </c>
      <c r="B22" s="105" t="s">
        <v>35</v>
      </c>
      <c r="C22" s="105">
        <v>120</v>
      </c>
      <c r="D22" s="507"/>
      <c r="E22" s="106">
        <f>D22*C22</f>
        <v>0</v>
      </c>
    </row>
    <row r="23" spans="1:5" ht="21.6" customHeight="1" x14ac:dyDescent="0.3">
      <c r="A23" s="102" t="s">
        <v>155</v>
      </c>
      <c r="B23" s="98" t="s">
        <v>35</v>
      </c>
      <c r="C23" s="98">
        <v>150</v>
      </c>
      <c r="D23" s="506"/>
      <c r="E23" s="99">
        <f t="shared" si="0"/>
        <v>0</v>
      </c>
    </row>
    <row r="24" spans="1:5" ht="21.6" customHeight="1" x14ac:dyDescent="0.3">
      <c r="A24" s="102" t="s">
        <v>156</v>
      </c>
      <c r="B24" s="98" t="s">
        <v>35</v>
      </c>
      <c r="C24" s="98">
        <f>C23+C22+C21</f>
        <v>300</v>
      </c>
      <c r="D24" s="506"/>
      <c r="E24" s="99">
        <f t="shared" si="0"/>
        <v>0</v>
      </c>
    </row>
    <row r="25" spans="1:5" ht="21.6" customHeight="1" x14ac:dyDescent="0.3">
      <c r="A25" s="102" t="s">
        <v>157</v>
      </c>
      <c r="B25" s="98" t="s">
        <v>35</v>
      </c>
      <c r="C25" s="98">
        <f>C22+C21</f>
        <v>150</v>
      </c>
      <c r="D25" s="506"/>
      <c r="E25" s="99">
        <f t="shared" si="0"/>
        <v>0</v>
      </c>
    </row>
    <row r="26" spans="1:5" ht="21.6" customHeight="1" x14ac:dyDescent="0.3">
      <c r="A26" s="102" t="s">
        <v>158</v>
      </c>
      <c r="B26" s="98" t="s">
        <v>159</v>
      </c>
      <c r="C26" s="98">
        <v>1</v>
      </c>
      <c r="D26" s="506"/>
      <c r="E26" s="99">
        <f t="shared" si="0"/>
        <v>0</v>
      </c>
    </row>
    <row r="27" spans="1:5" ht="21.6" customHeight="1" x14ac:dyDescent="0.3">
      <c r="A27" s="102" t="s">
        <v>160</v>
      </c>
      <c r="B27" s="98" t="s">
        <v>159</v>
      </c>
      <c r="C27" s="98">
        <v>1</v>
      </c>
      <c r="D27" s="506"/>
      <c r="E27" s="99">
        <f t="shared" si="0"/>
        <v>0</v>
      </c>
    </row>
    <row r="28" spans="1:5" ht="21.6" customHeight="1" x14ac:dyDescent="0.3">
      <c r="A28" s="102" t="s">
        <v>161</v>
      </c>
      <c r="B28" s="98" t="s">
        <v>51</v>
      </c>
      <c r="C28" s="98">
        <v>19</v>
      </c>
      <c r="D28" s="506"/>
      <c r="E28" s="99">
        <f t="shared" si="0"/>
        <v>0</v>
      </c>
    </row>
    <row r="29" spans="1:5" ht="34.15" customHeight="1" x14ac:dyDescent="0.3">
      <c r="A29" s="107" t="s">
        <v>162</v>
      </c>
      <c r="B29" s="98" t="s">
        <v>51</v>
      </c>
      <c r="C29" s="98">
        <v>2</v>
      </c>
      <c r="D29" s="506"/>
      <c r="E29" s="99">
        <f t="shared" si="0"/>
        <v>0</v>
      </c>
    </row>
    <row r="30" spans="1:5" ht="19.899999999999999" customHeight="1" x14ac:dyDescent="0.3">
      <c r="A30" s="107" t="s">
        <v>163</v>
      </c>
      <c r="B30" s="98" t="s">
        <v>51</v>
      </c>
      <c r="C30" s="98">
        <v>12</v>
      </c>
      <c r="D30" s="506"/>
      <c r="E30" s="99">
        <f t="shared" si="0"/>
        <v>0</v>
      </c>
    </row>
    <row r="31" spans="1:5" ht="21.6" customHeight="1" x14ac:dyDescent="0.3">
      <c r="A31" s="102" t="s">
        <v>164</v>
      </c>
      <c r="B31" s="98" t="s">
        <v>51</v>
      </c>
      <c r="C31" s="98">
        <v>22</v>
      </c>
      <c r="D31" s="506"/>
      <c r="E31" s="99">
        <f t="shared" si="0"/>
        <v>0</v>
      </c>
    </row>
    <row r="32" spans="1:5" ht="21.6" customHeight="1" x14ac:dyDescent="0.3">
      <c r="A32" s="102" t="s">
        <v>165</v>
      </c>
      <c r="B32" s="98" t="s">
        <v>51</v>
      </c>
      <c r="C32" s="98">
        <v>2</v>
      </c>
      <c r="D32" s="506"/>
      <c r="E32" s="99">
        <f t="shared" si="0"/>
        <v>0</v>
      </c>
    </row>
    <row r="33" spans="1:5" ht="21.6" customHeight="1" x14ac:dyDescent="0.3">
      <c r="A33" s="93" t="s">
        <v>166</v>
      </c>
      <c r="B33" s="94"/>
      <c r="C33" s="94"/>
      <c r="D33" s="103"/>
      <c r="E33" s="96">
        <f>SUM(E34:E41)</f>
        <v>0</v>
      </c>
    </row>
    <row r="34" spans="1:5" ht="22.9" customHeight="1" x14ac:dyDescent="0.3">
      <c r="A34" s="107" t="s">
        <v>167</v>
      </c>
      <c r="B34" s="98" t="s">
        <v>159</v>
      </c>
      <c r="C34" s="98">
        <v>1</v>
      </c>
      <c r="D34" s="506"/>
      <c r="E34" s="99">
        <f t="shared" si="0"/>
        <v>0</v>
      </c>
    </row>
    <row r="35" spans="1:5" ht="20.45" customHeight="1" x14ac:dyDescent="0.3">
      <c r="A35" s="102" t="s">
        <v>168</v>
      </c>
      <c r="B35" s="98" t="s">
        <v>35</v>
      </c>
      <c r="C35" s="98">
        <v>300</v>
      </c>
      <c r="D35" s="506"/>
      <c r="E35" s="99">
        <f t="shared" si="0"/>
        <v>0</v>
      </c>
    </row>
    <row r="36" spans="1:5" ht="21.6" customHeight="1" x14ac:dyDescent="0.3">
      <c r="A36" s="107" t="s">
        <v>169</v>
      </c>
      <c r="B36" s="98" t="s">
        <v>159</v>
      </c>
      <c r="C36" s="98">
        <v>1</v>
      </c>
      <c r="D36" s="506"/>
      <c r="E36" s="99">
        <f t="shared" si="0"/>
        <v>0</v>
      </c>
    </row>
    <row r="37" spans="1:5" ht="21.6" customHeight="1" x14ac:dyDescent="0.3">
      <c r="A37" s="107" t="s">
        <v>170</v>
      </c>
      <c r="B37" s="98" t="s">
        <v>171</v>
      </c>
      <c r="C37" s="98">
        <v>10</v>
      </c>
      <c r="D37" s="506"/>
      <c r="E37" s="99">
        <f t="shared" si="0"/>
        <v>0</v>
      </c>
    </row>
    <row r="38" spans="1:5" ht="21.6" customHeight="1" x14ac:dyDescent="0.3">
      <c r="A38" s="107" t="s">
        <v>172</v>
      </c>
      <c r="B38" s="98" t="s">
        <v>159</v>
      </c>
      <c r="C38" s="98">
        <v>1</v>
      </c>
      <c r="D38" s="506"/>
      <c r="E38" s="99">
        <f t="shared" si="0"/>
        <v>0</v>
      </c>
    </row>
    <row r="39" spans="1:5" ht="21.6" customHeight="1" x14ac:dyDescent="0.3">
      <c r="A39" s="102" t="s">
        <v>173</v>
      </c>
      <c r="B39" s="98" t="s">
        <v>159</v>
      </c>
      <c r="C39" s="98">
        <v>1</v>
      </c>
      <c r="D39" s="506"/>
      <c r="E39" s="99">
        <f t="shared" si="0"/>
        <v>0</v>
      </c>
    </row>
    <row r="40" spans="1:5" ht="21.6" customHeight="1" x14ac:dyDescent="0.3">
      <c r="A40" s="102" t="s">
        <v>174</v>
      </c>
      <c r="B40" s="98" t="s">
        <v>159</v>
      </c>
      <c r="C40" s="98">
        <v>1</v>
      </c>
      <c r="D40" s="506"/>
      <c r="E40" s="99">
        <f t="shared" si="0"/>
        <v>0</v>
      </c>
    </row>
    <row r="41" spans="1:5" ht="21.6" customHeight="1" x14ac:dyDescent="0.3">
      <c r="A41" s="102" t="s">
        <v>175</v>
      </c>
      <c r="B41" s="98" t="s">
        <v>159</v>
      </c>
      <c r="C41" s="98">
        <v>1</v>
      </c>
      <c r="D41" s="506"/>
      <c r="E41" s="99">
        <f t="shared" si="0"/>
        <v>0</v>
      </c>
    </row>
    <row r="42" spans="1:5" ht="21.6" customHeight="1" x14ac:dyDescent="0.3">
      <c r="A42" s="93" t="s">
        <v>176</v>
      </c>
      <c r="B42" s="108"/>
      <c r="C42" s="108"/>
      <c r="D42" s="109"/>
      <c r="E42" s="96">
        <f>E33+E20+E4</f>
        <v>0</v>
      </c>
    </row>
    <row r="43" spans="1:5" ht="21.6" customHeight="1" x14ac:dyDescent="0.3">
      <c r="A43" s="93" t="s">
        <v>15</v>
      </c>
      <c r="B43" s="108"/>
      <c r="C43" s="108"/>
      <c r="D43" s="108"/>
      <c r="E43" s="96">
        <f>E42*0.21</f>
        <v>0</v>
      </c>
    </row>
    <row r="44" spans="1:5" ht="21.6" customHeight="1" thickBot="1" x14ac:dyDescent="0.35">
      <c r="A44" s="382" t="s">
        <v>1319</v>
      </c>
      <c r="B44" s="383"/>
      <c r="C44" s="383"/>
      <c r="D44" s="383"/>
      <c r="E44" s="384">
        <f>SUM(E42:E43)</f>
        <v>0</v>
      </c>
    </row>
    <row r="45" spans="1:5" ht="21.6" customHeight="1" thickBot="1" x14ac:dyDescent="0.35">
      <c r="A45" s="281" t="s">
        <v>177</v>
      </c>
      <c r="B45" s="282"/>
      <c r="C45" s="282"/>
      <c r="D45" s="283"/>
      <c r="E45" s="284"/>
    </row>
    <row r="46" spans="1:5" ht="21.6" customHeight="1" x14ac:dyDescent="0.3">
      <c r="A46" s="110" t="s">
        <v>1312</v>
      </c>
      <c r="B46" s="111"/>
      <c r="C46" s="111"/>
      <c r="D46" s="112"/>
      <c r="E46" s="113"/>
    </row>
    <row r="47" spans="1:5" ht="21.6" customHeight="1" x14ac:dyDescent="0.3">
      <c r="A47" s="102" t="s">
        <v>1313</v>
      </c>
      <c r="B47" s="98"/>
      <c r="C47" s="98"/>
      <c r="D47" s="114"/>
      <c r="E47" s="115"/>
    </row>
    <row r="48" spans="1:5" ht="21.6" customHeight="1" x14ac:dyDescent="0.3">
      <c r="A48" s="102"/>
      <c r="B48" s="98"/>
      <c r="C48" s="116"/>
      <c r="D48" s="114"/>
      <c r="E48" s="115"/>
    </row>
    <row r="49" spans="1:5" x14ac:dyDescent="0.3">
      <c r="A49" s="102"/>
      <c r="B49" s="98"/>
      <c r="C49" s="116"/>
      <c r="D49" s="114"/>
      <c r="E49" s="115"/>
    </row>
    <row r="50" spans="1:5" ht="17.25" thickBot="1" x14ac:dyDescent="0.35">
      <c r="A50" s="117"/>
      <c r="B50" s="118"/>
      <c r="C50" s="119"/>
      <c r="D50" s="120"/>
      <c r="E50" s="121"/>
    </row>
  </sheetData>
  <sheetProtection algorithmName="SHA-512" hashValue="9CyuJvA715EQvNaxXN7VgZbecn2f9AJ39AzOT3U2xaIFGCKF3SjBKhKycgaba0yVkA2h0WIE74spQah0nl1p9A==" saltValue="JRiwoBRHe0sn63BBrDbP4g==" spinCount="100000" sheet="1" objects="1" scenarios="1"/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48A4-DAD3-4A50-83C7-1EEC352A30D4}">
  <dimension ref="A1:K125"/>
  <sheetViews>
    <sheetView topLeftCell="A83" zoomScale="85" zoomScaleNormal="85" workbookViewId="0">
      <selection activeCell="L123" sqref="L123"/>
    </sheetView>
  </sheetViews>
  <sheetFormatPr defaultRowHeight="15" x14ac:dyDescent="0.25"/>
  <cols>
    <col min="1" max="1" width="5.7109375" customWidth="1"/>
    <col min="2" max="2" width="13.5703125" style="77" customWidth="1"/>
    <col min="3" max="3" width="57.85546875" style="78" customWidth="1"/>
    <col min="4" max="4" width="6.85546875" style="79" customWidth="1"/>
    <col min="5" max="5" width="9.7109375" style="80" customWidth="1"/>
    <col min="6" max="6" width="12.7109375" style="88" customWidth="1"/>
    <col min="7" max="7" width="12.7109375" style="79" customWidth="1"/>
    <col min="8" max="8" width="17.140625" style="79" customWidth="1"/>
    <col min="10" max="10" width="44" customWidth="1"/>
  </cols>
  <sheetData>
    <row r="1" spans="1:10" ht="18.75" x14ac:dyDescent="0.25">
      <c r="A1" s="9"/>
      <c r="B1" s="10" t="s">
        <v>17</v>
      </c>
      <c r="C1" s="11"/>
      <c r="D1" s="12"/>
      <c r="E1" s="13"/>
      <c r="F1" s="14"/>
      <c r="G1" s="14"/>
      <c r="H1" s="15"/>
    </row>
    <row r="2" spans="1:10" ht="32.25" customHeight="1" x14ac:dyDescent="0.25">
      <c r="A2" s="9"/>
      <c r="B2" s="16" t="s">
        <v>18</v>
      </c>
      <c r="C2" s="17" t="s">
        <v>19</v>
      </c>
      <c r="D2" s="12"/>
      <c r="E2" s="13"/>
      <c r="F2" s="14"/>
      <c r="G2" s="14"/>
      <c r="H2" s="15"/>
    </row>
    <row r="3" spans="1:10" ht="15.75" x14ac:dyDescent="0.25">
      <c r="A3" s="9"/>
      <c r="B3" s="16" t="s">
        <v>20</v>
      </c>
      <c r="C3" s="11" t="s">
        <v>21</v>
      </c>
      <c r="D3" s="12"/>
      <c r="E3" s="13"/>
      <c r="F3" s="14"/>
      <c r="G3" s="14"/>
      <c r="H3" s="15"/>
    </row>
    <row r="4" spans="1:10" ht="15.75" x14ac:dyDescent="0.25">
      <c r="A4" s="9"/>
      <c r="B4" s="16" t="s">
        <v>4</v>
      </c>
      <c r="C4" s="18">
        <v>45274</v>
      </c>
      <c r="D4" s="12"/>
      <c r="E4" s="13"/>
      <c r="F4" s="14"/>
      <c r="G4" s="14"/>
      <c r="H4" s="15"/>
    </row>
    <row r="5" spans="1:10" ht="15.75" x14ac:dyDescent="0.25">
      <c r="A5" s="9"/>
      <c r="B5" s="19"/>
      <c r="C5" s="11"/>
      <c r="D5" s="12"/>
      <c r="E5" s="13"/>
      <c r="F5" s="14"/>
      <c r="G5" s="14"/>
      <c r="H5" s="15"/>
    </row>
    <row r="6" spans="1:10" ht="16.5" x14ac:dyDescent="0.25">
      <c r="A6" s="9"/>
      <c r="B6" s="20"/>
      <c r="C6" s="21"/>
      <c r="D6" s="22"/>
      <c r="E6" s="23"/>
      <c r="F6" s="24"/>
      <c r="G6" s="25"/>
      <c r="H6" s="26"/>
    </row>
    <row r="7" spans="1:10" ht="15.75" thickBot="1" x14ac:dyDescent="0.3">
      <c r="A7" s="27" t="s">
        <v>22</v>
      </c>
      <c r="B7" s="28" t="s">
        <v>23</v>
      </c>
      <c r="C7" s="28" t="s">
        <v>24</v>
      </c>
      <c r="D7" s="27" t="s">
        <v>25</v>
      </c>
      <c r="E7" s="29" t="s">
        <v>26</v>
      </c>
      <c r="F7" s="30" t="s">
        <v>27</v>
      </c>
      <c r="G7" s="27" t="s">
        <v>28</v>
      </c>
      <c r="H7" s="27" t="s">
        <v>29</v>
      </c>
    </row>
    <row r="8" spans="1:10" ht="15.75" x14ac:dyDescent="0.25">
      <c r="A8" s="31"/>
      <c r="B8" s="32"/>
      <c r="C8" s="285"/>
      <c r="D8" s="286"/>
      <c r="E8" s="287"/>
      <c r="F8" s="24"/>
      <c r="G8" s="33"/>
      <c r="H8" s="34"/>
    </row>
    <row r="9" spans="1:10" ht="15.75" x14ac:dyDescent="0.25">
      <c r="A9" s="35" t="s">
        <v>30</v>
      </c>
      <c r="B9" s="36" t="s">
        <v>31</v>
      </c>
      <c r="C9" s="37" t="s">
        <v>32</v>
      </c>
      <c r="D9" s="38"/>
      <c r="E9" s="39"/>
      <c r="F9" s="40"/>
      <c r="G9" s="41"/>
      <c r="H9" s="42"/>
    </row>
    <row r="10" spans="1:10" x14ac:dyDescent="0.25">
      <c r="A10" s="43"/>
      <c r="B10" s="44"/>
      <c r="C10" s="45" t="s">
        <v>33</v>
      </c>
      <c r="D10" s="46"/>
      <c r="E10" s="47"/>
      <c r="F10" s="48"/>
      <c r="G10" s="49"/>
      <c r="H10" s="50"/>
    </row>
    <row r="11" spans="1:10" ht="27" customHeight="1" x14ac:dyDescent="0.25">
      <c r="A11" s="51">
        <v>1</v>
      </c>
      <c r="B11" s="52"/>
      <c r="C11" s="53" t="s">
        <v>34</v>
      </c>
      <c r="D11" s="54" t="s">
        <v>35</v>
      </c>
      <c r="E11" s="55">
        <v>120</v>
      </c>
      <c r="F11" s="508"/>
      <c r="G11" s="508"/>
      <c r="H11" s="56">
        <f t="shared" ref="H11:H17" si="0">F11*E11+G11*E11</f>
        <v>0</v>
      </c>
    </row>
    <row r="12" spans="1:10" ht="27" customHeight="1" x14ac:dyDescent="0.25">
      <c r="A12" s="51">
        <f>A11+1</f>
        <v>2</v>
      </c>
      <c r="B12" s="52"/>
      <c r="C12" s="53" t="s">
        <v>36</v>
      </c>
      <c r="D12" s="54" t="s">
        <v>35</v>
      </c>
      <c r="E12" s="55">
        <v>660</v>
      </c>
      <c r="F12" s="508"/>
      <c r="G12" s="508"/>
      <c r="H12" s="56">
        <f t="shared" si="0"/>
        <v>0</v>
      </c>
      <c r="J12" s="57"/>
    </row>
    <row r="13" spans="1:10" x14ac:dyDescent="0.25">
      <c r="A13" s="51">
        <f>A12+1</f>
        <v>3</v>
      </c>
      <c r="B13" s="52"/>
      <c r="C13" s="53" t="s">
        <v>37</v>
      </c>
      <c r="D13" s="54" t="s">
        <v>38</v>
      </c>
      <c r="E13" s="55">
        <v>18.72</v>
      </c>
      <c r="F13" s="508"/>
      <c r="G13" s="508"/>
      <c r="H13" s="56">
        <f t="shared" si="0"/>
        <v>0</v>
      </c>
      <c r="J13" s="57"/>
    </row>
    <row r="14" spans="1:10" x14ac:dyDescent="0.25">
      <c r="A14" s="51"/>
      <c r="B14" s="52"/>
      <c r="C14" s="58" t="s">
        <v>39</v>
      </c>
      <c r="D14" s="54"/>
      <c r="E14" s="55"/>
      <c r="F14" s="508"/>
      <c r="G14" s="508"/>
      <c r="H14" s="56"/>
      <c r="J14" s="57"/>
    </row>
    <row r="15" spans="1:10" ht="27" customHeight="1" x14ac:dyDescent="0.25">
      <c r="A15" s="51">
        <f>A13+1</f>
        <v>4</v>
      </c>
      <c r="B15" s="52"/>
      <c r="C15" s="53" t="s">
        <v>40</v>
      </c>
      <c r="D15" s="54" t="s">
        <v>38</v>
      </c>
      <c r="E15" s="55">
        <v>27.840000000000003</v>
      </c>
      <c r="F15" s="508"/>
      <c r="G15" s="508"/>
      <c r="H15" s="56">
        <f t="shared" si="0"/>
        <v>0</v>
      </c>
      <c r="J15" s="57"/>
    </row>
    <row r="16" spans="1:10" x14ac:dyDescent="0.25">
      <c r="A16" s="51"/>
      <c r="B16" s="52"/>
      <c r="C16" s="58" t="s">
        <v>41</v>
      </c>
      <c r="D16" s="54"/>
      <c r="E16" s="55"/>
      <c r="F16" s="508"/>
      <c r="G16" s="508"/>
      <c r="H16" s="56"/>
      <c r="J16" s="57"/>
    </row>
    <row r="17" spans="1:10" x14ac:dyDescent="0.25">
      <c r="A17" s="51">
        <f>A15+1</f>
        <v>5</v>
      </c>
      <c r="B17" s="52"/>
      <c r="C17" s="53" t="s">
        <v>42</v>
      </c>
      <c r="D17" s="54" t="s">
        <v>43</v>
      </c>
      <c r="E17" s="55">
        <v>10</v>
      </c>
      <c r="F17" s="508"/>
      <c r="G17" s="508"/>
      <c r="H17" s="56">
        <f t="shared" si="0"/>
        <v>0</v>
      </c>
      <c r="J17" s="57"/>
    </row>
    <row r="18" spans="1:10" x14ac:dyDescent="0.25">
      <c r="A18" s="59"/>
      <c r="B18" s="60"/>
      <c r="C18" s="61"/>
      <c r="D18" s="62"/>
      <c r="E18" s="63"/>
      <c r="F18" s="64"/>
      <c r="G18" s="64"/>
      <c r="H18" s="64">
        <f>SUM(H11:H17)</f>
        <v>0</v>
      </c>
    </row>
    <row r="19" spans="1:10" x14ac:dyDescent="0.25">
      <c r="A19" s="43"/>
      <c r="B19" s="44"/>
      <c r="C19" s="45" t="s">
        <v>44</v>
      </c>
      <c r="D19" s="46"/>
      <c r="E19" s="47"/>
      <c r="F19" s="48"/>
      <c r="G19" s="48"/>
      <c r="H19" s="48"/>
    </row>
    <row r="20" spans="1:10" x14ac:dyDescent="0.25">
      <c r="A20" s="51">
        <f>A17+1</f>
        <v>6</v>
      </c>
      <c r="B20" s="52"/>
      <c r="C20" s="53" t="s">
        <v>45</v>
      </c>
      <c r="D20" s="65" t="s">
        <v>46</v>
      </c>
      <c r="E20" s="55">
        <v>200</v>
      </c>
      <c r="F20" s="509"/>
      <c r="G20" s="508"/>
      <c r="H20" s="56">
        <f t="shared" ref="H20" si="1">F20*E20+G20*E20</f>
        <v>0</v>
      </c>
    </row>
    <row r="21" spans="1:10" x14ac:dyDescent="0.25">
      <c r="A21" s="51"/>
      <c r="B21" s="58"/>
      <c r="C21" s="58" t="s">
        <v>47</v>
      </c>
      <c r="D21" s="54"/>
      <c r="E21" s="55"/>
      <c r="F21" s="508"/>
      <c r="G21" s="508"/>
      <c r="H21" s="56"/>
      <c r="J21" s="57"/>
    </row>
    <row r="22" spans="1:10" x14ac:dyDescent="0.25">
      <c r="A22" s="51">
        <f>A20+1</f>
        <v>7</v>
      </c>
      <c r="B22" s="52"/>
      <c r="C22" s="53" t="s">
        <v>48</v>
      </c>
      <c r="D22" s="65" t="s">
        <v>46</v>
      </c>
      <c r="E22" s="55">
        <v>100</v>
      </c>
      <c r="F22" s="509"/>
      <c r="G22" s="508"/>
      <c r="H22" s="56">
        <f t="shared" ref="H22" si="2">F22*E22+G22*E22</f>
        <v>0</v>
      </c>
    </row>
    <row r="23" spans="1:10" x14ac:dyDescent="0.25">
      <c r="A23" s="51"/>
      <c r="B23" s="58"/>
      <c r="C23" s="58" t="s">
        <v>47</v>
      </c>
      <c r="D23" s="54"/>
      <c r="E23" s="55"/>
      <c r="F23" s="508"/>
      <c r="G23" s="508"/>
      <c r="H23" s="56"/>
      <c r="J23" s="57"/>
    </row>
    <row r="24" spans="1:10" x14ac:dyDescent="0.25">
      <c r="A24" s="51">
        <f>A22+1</f>
        <v>8</v>
      </c>
      <c r="B24" s="52"/>
      <c r="C24" s="53" t="s">
        <v>49</v>
      </c>
      <c r="D24" s="65" t="s">
        <v>46</v>
      </c>
      <c r="E24" s="55">
        <v>900</v>
      </c>
      <c r="F24" s="509"/>
      <c r="G24" s="508"/>
      <c r="H24" s="56">
        <f t="shared" ref="H24" si="3">F24*E24+G24*E24</f>
        <v>0</v>
      </c>
    </row>
    <row r="25" spans="1:10" x14ac:dyDescent="0.25">
      <c r="A25" s="51"/>
      <c r="B25" s="58"/>
      <c r="C25" s="58" t="s">
        <v>47</v>
      </c>
      <c r="D25" s="54"/>
      <c r="E25" s="55"/>
      <c r="F25" s="508"/>
      <c r="G25" s="508"/>
      <c r="H25" s="56"/>
      <c r="J25" s="57"/>
    </row>
    <row r="26" spans="1:10" ht="27.75" customHeight="1" x14ac:dyDescent="0.25">
      <c r="A26" s="51">
        <f>A24+1</f>
        <v>9</v>
      </c>
      <c r="B26" s="52"/>
      <c r="C26" s="53" t="s">
        <v>50</v>
      </c>
      <c r="D26" s="65" t="s">
        <v>51</v>
      </c>
      <c r="E26" s="55">
        <v>1</v>
      </c>
      <c r="F26" s="509"/>
      <c r="G26" s="508"/>
      <c r="H26" s="56">
        <f t="shared" ref="H26:H33" si="4">F26*E26+G26*E26</f>
        <v>0</v>
      </c>
    </row>
    <row r="27" spans="1:10" x14ac:dyDescent="0.25">
      <c r="A27" s="51"/>
      <c r="B27" s="58"/>
      <c r="C27" s="58" t="s">
        <v>52</v>
      </c>
      <c r="D27" s="54"/>
      <c r="E27" s="55"/>
      <c r="F27" s="508"/>
      <c r="G27" s="508"/>
      <c r="H27" s="56"/>
      <c r="J27" s="57"/>
    </row>
    <row r="28" spans="1:10" x14ac:dyDescent="0.25">
      <c r="A28" s="51">
        <f>A26+1</f>
        <v>10</v>
      </c>
      <c r="B28" s="52"/>
      <c r="C28" s="53" t="s">
        <v>53</v>
      </c>
      <c r="D28" s="65" t="s">
        <v>46</v>
      </c>
      <c r="E28" s="55">
        <v>125</v>
      </c>
      <c r="F28" s="509"/>
      <c r="G28" s="508"/>
      <c r="H28" s="56">
        <f t="shared" ref="H28" si="5">F28*E28+G28*E28</f>
        <v>0</v>
      </c>
    </row>
    <row r="29" spans="1:10" x14ac:dyDescent="0.25">
      <c r="A29" s="51"/>
      <c r="B29" s="58"/>
      <c r="C29" s="58" t="s">
        <v>54</v>
      </c>
      <c r="D29" s="54"/>
      <c r="E29" s="55"/>
      <c r="F29" s="508"/>
      <c r="G29" s="508"/>
      <c r="H29" s="56"/>
      <c r="J29" s="57"/>
    </row>
    <row r="30" spans="1:10" x14ac:dyDescent="0.25">
      <c r="A30" s="51">
        <f>A28+1</f>
        <v>11</v>
      </c>
      <c r="B30" s="52"/>
      <c r="C30" s="53" t="s">
        <v>55</v>
      </c>
      <c r="D30" s="65" t="s">
        <v>51</v>
      </c>
      <c r="E30" s="55">
        <v>11</v>
      </c>
      <c r="F30" s="509"/>
      <c r="G30" s="508"/>
      <c r="H30" s="56">
        <f t="shared" ref="H30:H31" si="6">F30*E30+G30*E30</f>
        <v>0</v>
      </c>
    </row>
    <row r="31" spans="1:10" x14ac:dyDescent="0.25">
      <c r="A31" s="51">
        <f>A30+1</f>
        <v>12</v>
      </c>
      <c r="B31" s="52"/>
      <c r="C31" s="53" t="s">
        <v>56</v>
      </c>
      <c r="D31" s="65" t="s">
        <v>51</v>
      </c>
      <c r="E31" s="55">
        <v>16</v>
      </c>
      <c r="F31" s="509"/>
      <c r="G31" s="508"/>
      <c r="H31" s="56">
        <f t="shared" si="6"/>
        <v>0</v>
      </c>
    </row>
    <row r="32" spans="1:10" x14ac:dyDescent="0.25">
      <c r="A32" s="51"/>
      <c r="B32" s="58"/>
      <c r="C32" s="58" t="s">
        <v>57</v>
      </c>
      <c r="D32" s="65"/>
      <c r="E32" s="55"/>
      <c r="F32" s="509"/>
      <c r="G32" s="508"/>
      <c r="H32" s="56"/>
    </row>
    <row r="33" spans="1:8" x14ac:dyDescent="0.25">
      <c r="A33" s="51">
        <f>A31+1</f>
        <v>13</v>
      </c>
      <c r="B33" s="52"/>
      <c r="C33" s="53" t="s">
        <v>58</v>
      </c>
      <c r="D33" s="65" t="s">
        <v>51</v>
      </c>
      <c r="E33" s="55">
        <v>1</v>
      </c>
      <c r="F33" s="509"/>
      <c r="G33" s="508"/>
      <c r="H33" s="56">
        <f t="shared" si="4"/>
        <v>0</v>
      </c>
    </row>
    <row r="34" spans="1:8" x14ac:dyDescent="0.25">
      <c r="A34" s="51"/>
      <c r="B34" s="52"/>
      <c r="C34" s="58" t="s">
        <v>59</v>
      </c>
      <c r="D34" s="65"/>
      <c r="E34" s="55"/>
      <c r="F34" s="509"/>
      <c r="G34" s="508"/>
      <c r="H34" s="56"/>
    </row>
    <row r="35" spans="1:8" x14ac:dyDescent="0.25">
      <c r="A35" s="51">
        <f>A33+1</f>
        <v>14</v>
      </c>
      <c r="B35" s="52"/>
      <c r="C35" s="53" t="s">
        <v>60</v>
      </c>
      <c r="D35" s="65" t="s">
        <v>51</v>
      </c>
      <c r="E35" s="55">
        <v>1</v>
      </c>
      <c r="F35" s="509"/>
      <c r="G35" s="508"/>
      <c r="H35" s="56">
        <f t="shared" ref="H35" si="7">F35*E35+G35*E35</f>
        <v>0</v>
      </c>
    </row>
    <row r="36" spans="1:8" x14ac:dyDescent="0.25">
      <c r="A36" s="59"/>
      <c r="B36" s="60"/>
      <c r="C36" s="61"/>
      <c r="D36" s="66"/>
      <c r="E36" s="63"/>
      <c r="F36" s="67"/>
      <c r="G36" s="67"/>
      <c r="H36" s="64">
        <f>SUM(H20:H35)</f>
        <v>0</v>
      </c>
    </row>
    <row r="37" spans="1:8" x14ac:dyDescent="0.25">
      <c r="A37" s="43"/>
      <c r="B37" s="44"/>
      <c r="C37" s="45" t="s">
        <v>61</v>
      </c>
      <c r="D37" s="46"/>
      <c r="E37" s="47"/>
      <c r="F37" s="48"/>
      <c r="G37" s="48"/>
      <c r="H37" s="48"/>
    </row>
    <row r="38" spans="1:8" ht="29.25" customHeight="1" x14ac:dyDescent="0.25">
      <c r="A38" s="51">
        <f>A35+1</f>
        <v>15</v>
      </c>
      <c r="B38" s="52"/>
      <c r="C38" s="53" t="s">
        <v>1187</v>
      </c>
      <c r="D38" s="54" t="s">
        <v>51</v>
      </c>
      <c r="E38" s="68">
        <v>1</v>
      </c>
      <c r="F38" s="509"/>
      <c r="G38" s="508"/>
      <c r="H38" s="56">
        <f t="shared" ref="H38:H47" si="8">F38*E38+G38*E38</f>
        <v>0</v>
      </c>
    </row>
    <row r="39" spans="1:8" s="75" customFormat="1" ht="25.5" customHeight="1" x14ac:dyDescent="0.25">
      <c r="A39" s="69"/>
      <c r="B39" s="70"/>
      <c r="C39" s="71" t="s">
        <v>62</v>
      </c>
      <c r="D39" s="72"/>
      <c r="E39" s="73"/>
      <c r="F39" s="510"/>
      <c r="G39" s="511"/>
      <c r="H39" s="74"/>
    </row>
    <row r="40" spans="1:8" x14ac:dyDescent="0.25">
      <c r="A40" s="51">
        <f>A38+1</f>
        <v>16</v>
      </c>
      <c r="B40" s="52"/>
      <c r="C40" s="53" t="s">
        <v>63</v>
      </c>
      <c r="D40" s="54" t="s">
        <v>51</v>
      </c>
      <c r="E40" s="68">
        <v>1</v>
      </c>
      <c r="F40" s="509"/>
      <c r="G40" s="508"/>
      <c r="H40" s="56">
        <f t="shared" si="8"/>
        <v>0</v>
      </c>
    </row>
    <row r="41" spans="1:8" x14ac:dyDescent="0.25">
      <c r="A41" s="51"/>
      <c r="B41" s="58"/>
      <c r="C41" s="71" t="s">
        <v>64</v>
      </c>
      <c r="D41" s="54"/>
      <c r="E41" s="68"/>
      <c r="F41" s="508"/>
      <c r="G41" s="508"/>
      <c r="H41" s="56"/>
    </row>
    <row r="42" spans="1:8" x14ac:dyDescent="0.25">
      <c r="A42" s="51">
        <f>A40+1</f>
        <v>17</v>
      </c>
      <c r="B42" s="52"/>
      <c r="C42" s="53" t="s">
        <v>65</v>
      </c>
      <c r="D42" s="54" t="s">
        <v>51</v>
      </c>
      <c r="E42" s="68">
        <v>1</v>
      </c>
      <c r="F42" s="509"/>
      <c r="G42" s="508"/>
      <c r="H42" s="56">
        <f t="shared" si="8"/>
        <v>0</v>
      </c>
    </row>
    <row r="43" spans="1:8" s="75" customFormat="1" ht="25.5" customHeight="1" x14ac:dyDescent="0.25">
      <c r="A43" s="69"/>
      <c r="B43" s="70"/>
      <c r="C43" s="71" t="s">
        <v>66</v>
      </c>
      <c r="D43" s="72"/>
      <c r="E43" s="73"/>
      <c r="F43" s="510"/>
      <c r="G43" s="511"/>
      <c r="H43" s="74"/>
    </row>
    <row r="44" spans="1:8" x14ac:dyDescent="0.25">
      <c r="A44" s="51"/>
      <c r="B44" s="58"/>
      <c r="C44" s="71" t="s">
        <v>67</v>
      </c>
      <c r="D44" s="54"/>
      <c r="E44" s="68"/>
      <c r="F44" s="508"/>
      <c r="G44" s="508"/>
      <c r="H44" s="56"/>
    </row>
    <row r="45" spans="1:8" ht="29.25" customHeight="1" x14ac:dyDescent="0.25">
      <c r="A45" s="51">
        <f>A42+1</f>
        <v>18</v>
      </c>
      <c r="B45" s="52"/>
      <c r="C45" s="53" t="s">
        <v>68</v>
      </c>
      <c r="D45" s="54" t="s">
        <v>51</v>
      </c>
      <c r="E45" s="68">
        <v>4</v>
      </c>
      <c r="F45" s="509"/>
      <c r="G45" s="508"/>
      <c r="H45" s="56">
        <f t="shared" si="8"/>
        <v>0</v>
      </c>
    </row>
    <row r="46" spans="1:8" s="75" customFormat="1" ht="25.5" customHeight="1" x14ac:dyDescent="0.25">
      <c r="A46" s="69"/>
      <c r="B46" s="70"/>
      <c r="C46" s="71" t="s">
        <v>69</v>
      </c>
      <c r="D46" s="72"/>
      <c r="E46" s="73"/>
      <c r="F46" s="510"/>
      <c r="G46" s="511"/>
      <c r="H46" s="74"/>
    </row>
    <row r="47" spans="1:8" x14ac:dyDescent="0.25">
      <c r="A47" s="51">
        <f>A45+1</f>
        <v>19</v>
      </c>
      <c r="B47" s="52"/>
      <c r="C47" s="53" t="s">
        <v>70</v>
      </c>
      <c r="D47" s="54" t="s">
        <v>51</v>
      </c>
      <c r="E47" s="68">
        <v>1</v>
      </c>
      <c r="F47" s="509"/>
      <c r="G47" s="508"/>
      <c r="H47" s="56">
        <f t="shared" si="8"/>
        <v>0</v>
      </c>
    </row>
    <row r="48" spans="1:8" s="75" customFormat="1" ht="25.5" customHeight="1" x14ac:dyDescent="0.25">
      <c r="A48" s="69"/>
      <c r="B48" s="70"/>
      <c r="C48" s="71" t="s">
        <v>71</v>
      </c>
      <c r="D48" s="72"/>
      <c r="E48" s="73"/>
      <c r="F48" s="510"/>
      <c r="G48" s="511"/>
      <c r="H48" s="74"/>
    </row>
    <row r="49" spans="1:8" x14ac:dyDescent="0.25">
      <c r="A49" s="51">
        <f>A47+1</f>
        <v>20</v>
      </c>
      <c r="B49" s="52"/>
      <c r="C49" s="53" t="s">
        <v>72</v>
      </c>
      <c r="D49" s="54" t="s">
        <v>51</v>
      </c>
      <c r="E49" s="68">
        <v>3</v>
      </c>
      <c r="F49" s="509"/>
      <c r="G49" s="508"/>
      <c r="H49" s="56">
        <f t="shared" ref="H49" si="9">F49*E49+G49*E49</f>
        <v>0</v>
      </c>
    </row>
    <row r="50" spans="1:8" s="75" customFormat="1" ht="25.5" customHeight="1" x14ac:dyDescent="0.25">
      <c r="A50" s="69"/>
      <c r="B50" s="70"/>
      <c r="C50" s="71" t="s">
        <v>69</v>
      </c>
      <c r="D50" s="72"/>
      <c r="E50" s="73"/>
      <c r="F50" s="510"/>
      <c r="G50" s="511"/>
      <c r="H50" s="74"/>
    </row>
    <row r="51" spans="1:8" x14ac:dyDescent="0.25">
      <c r="A51" s="51">
        <f>A49+1</f>
        <v>21</v>
      </c>
      <c r="B51" s="52"/>
      <c r="C51" s="53" t="s">
        <v>73</v>
      </c>
      <c r="D51" s="54" t="s">
        <v>51</v>
      </c>
      <c r="E51" s="68">
        <v>3</v>
      </c>
      <c r="F51" s="509"/>
      <c r="G51" s="508"/>
      <c r="H51" s="56">
        <f t="shared" ref="H51" si="10">F51*E51+G51*E51</f>
        <v>0</v>
      </c>
    </row>
    <row r="52" spans="1:8" s="75" customFormat="1" ht="25.5" customHeight="1" x14ac:dyDescent="0.25">
      <c r="A52" s="69"/>
      <c r="B52" s="70"/>
      <c r="C52" s="71" t="s">
        <v>69</v>
      </c>
      <c r="D52" s="72"/>
      <c r="E52" s="73"/>
      <c r="F52" s="510"/>
      <c r="G52" s="511"/>
      <c r="H52" s="74"/>
    </row>
    <row r="53" spans="1:8" x14ac:dyDescent="0.25">
      <c r="A53" s="51">
        <f>A51+1</f>
        <v>22</v>
      </c>
      <c r="B53" s="52"/>
      <c r="C53" s="53" t="s">
        <v>74</v>
      </c>
      <c r="D53" s="54" t="s">
        <v>51</v>
      </c>
      <c r="E53" s="68">
        <v>2</v>
      </c>
      <c r="F53" s="509"/>
      <c r="G53" s="508"/>
      <c r="H53" s="56">
        <f t="shared" ref="H53" si="11">F53*E53+G53*E53</f>
        <v>0</v>
      </c>
    </row>
    <row r="54" spans="1:8" x14ac:dyDescent="0.25">
      <c r="A54" s="51"/>
      <c r="B54" s="58"/>
      <c r="C54" s="71" t="s">
        <v>75</v>
      </c>
      <c r="D54" s="54"/>
      <c r="E54" s="68"/>
      <c r="F54" s="508"/>
      <c r="G54" s="508"/>
      <c r="H54" s="56"/>
    </row>
    <row r="55" spans="1:8" x14ac:dyDescent="0.25">
      <c r="A55" s="51">
        <f>A53+1</f>
        <v>23</v>
      </c>
      <c r="B55" s="52"/>
      <c r="C55" s="53" t="s">
        <v>76</v>
      </c>
      <c r="D55" s="54" t="s">
        <v>51</v>
      </c>
      <c r="E55" s="68">
        <v>1</v>
      </c>
      <c r="F55" s="509"/>
      <c r="G55" s="508"/>
      <c r="H55" s="56">
        <f t="shared" ref="H55" si="12">F55*E55+G55*E55</f>
        <v>0</v>
      </c>
    </row>
    <row r="56" spans="1:8" x14ac:dyDescent="0.25">
      <c r="A56" s="51"/>
      <c r="B56" s="58"/>
      <c r="C56" s="71" t="s">
        <v>75</v>
      </c>
      <c r="D56" s="54"/>
      <c r="E56" s="68"/>
      <c r="F56" s="508"/>
      <c r="G56" s="508"/>
      <c r="H56" s="56"/>
    </row>
    <row r="57" spans="1:8" x14ac:dyDescent="0.25">
      <c r="A57" s="51">
        <f>A55+1</f>
        <v>24</v>
      </c>
      <c r="B57" s="52"/>
      <c r="C57" s="53" t="s">
        <v>77</v>
      </c>
      <c r="D57" s="54" t="s">
        <v>51</v>
      </c>
      <c r="E57" s="68">
        <v>15</v>
      </c>
      <c r="F57" s="509"/>
      <c r="G57" s="508"/>
      <c r="H57" s="56">
        <f t="shared" ref="H57" si="13">F57*E57+G57*E57</f>
        <v>0</v>
      </c>
    </row>
    <row r="58" spans="1:8" x14ac:dyDescent="0.25">
      <c r="A58" s="59"/>
      <c r="B58" s="60"/>
      <c r="C58" s="61"/>
      <c r="D58" s="62"/>
      <c r="E58" s="76"/>
      <c r="F58" s="67"/>
      <c r="G58" s="67"/>
      <c r="H58" s="64">
        <f>SUM(H38:H57)</f>
        <v>0</v>
      </c>
    </row>
    <row r="59" spans="1:8" x14ac:dyDescent="0.25">
      <c r="A59" s="43"/>
      <c r="B59" s="44"/>
      <c r="C59" s="45" t="s">
        <v>78</v>
      </c>
      <c r="D59" s="46"/>
      <c r="E59" s="47"/>
      <c r="F59" s="48"/>
      <c r="G59" s="48"/>
      <c r="H59" s="48"/>
    </row>
    <row r="60" spans="1:8" ht="27.75" customHeight="1" x14ac:dyDescent="0.25">
      <c r="A60" s="51">
        <f>A57+1</f>
        <v>25</v>
      </c>
      <c r="B60" s="52"/>
      <c r="C60" s="53" t="s">
        <v>79</v>
      </c>
      <c r="D60" s="54" t="s">
        <v>51</v>
      </c>
      <c r="E60" s="55">
        <v>20</v>
      </c>
      <c r="F60" s="509"/>
      <c r="G60" s="508"/>
      <c r="H60" s="56">
        <f t="shared" ref="H60:H69" si="14">F60*E60+G60*E60</f>
        <v>0</v>
      </c>
    </row>
    <row r="61" spans="1:8" ht="27" customHeight="1" x14ac:dyDescent="0.25">
      <c r="A61" s="51">
        <f>A60+1</f>
        <v>26</v>
      </c>
      <c r="B61" s="52"/>
      <c r="C61" s="53" t="s">
        <v>80</v>
      </c>
      <c r="D61" s="54" t="s">
        <v>51</v>
      </c>
      <c r="E61" s="55">
        <v>4</v>
      </c>
      <c r="F61" s="509"/>
      <c r="G61" s="508"/>
      <c r="H61" s="56">
        <f t="shared" si="14"/>
        <v>0</v>
      </c>
    </row>
    <row r="62" spans="1:8" ht="27" customHeight="1" x14ac:dyDescent="0.25">
      <c r="A62" s="51">
        <f t="shared" ref="A62:A65" si="15">A61+1</f>
        <v>27</v>
      </c>
      <c r="B62" s="52"/>
      <c r="C62" s="53" t="s">
        <v>81</v>
      </c>
      <c r="D62" s="54" t="s">
        <v>51</v>
      </c>
      <c r="E62" s="55">
        <v>1</v>
      </c>
      <c r="F62" s="509"/>
      <c r="G62" s="508"/>
      <c r="H62" s="56">
        <f t="shared" si="14"/>
        <v>0</v>
      </c>
    </row>
    <row r="63" spans="1:8" ht="27" customHeight="1" x14ac:dyDescent="0.25">
      <c r="A63" s="51">
        <f t="shared" si="15"/>
        <v>28</v>
      </c>
      <c r="B63" s="52"/>
      <c r="C63" s="53" t="s">
        <v>82</v>
      </c>
      <c r="D63" s="54" t="s">
        <v>51</v>
      </c>
      <c r="E63" s="55">
        <v>2</v>
      </c>
      <c r="F63" s="509"/>
      <c r="G63" s="508"/>
      <c r="H63" s="56">
        <f t="shared" si="14"/>
        <v>0</v>
      </c>
    </row>
    <row r="64" spans="1:8" ht="27" customHeight="1" x14ac:dyDescent="0.25">
      <c r="A64" s="51">
        <f t="shared" si="15"/>
        <v>29</v>
      </c>
      <c r="B64" s="52"/>
      <c r="C64" s="53" t="s">
        <v>83</v>
      </c>
      <c r="D64" s="54" t="s">
        <v>51</v>
      </c>
      <c r="E64" s="55">
        <v>1</v>
      </c>
      <c r="F64" s="509"/>
      <c r="G64" s="508"/>
      <c r="H64" s="56">
        <f t="shared" si="14"/>
        <v>0</v>
      </c>
    </row>
    <row r="65" spans="1:8" x14ac:dyDescent="0.25">
      <c r="A65" s="51">
        <f t="shared" si="15"/>
        <v>30</v>
      </c>
      <c r="B65" s="52"/>
      <c r="C65" s="53" t="s">
        <v>84</v>
      </c>
      <c r="D65" s="54" t="s">
        <v>51</v>
      </c>
      <c r="E65" s="55">
        <v>3</v>
      </c>
      <c r="F65" s="509"/>
      <c r="G65" s="508"/>
      <c r="H65" s="56">
        <f t="shared" si="14"/>
        <v>0</v>
      </c>
    </row>
    <row r="66" spans="1:8" x14ac:dyDescent="0.25">
      <c r="A66" s="51"/>
      <c r="B66" s="58"/>
      <c r="C66" s="71" t="s">
        <v>85</v>
      </c>
      <c r="D66" s="54"/>
      <c r="E66" s="55"/>
      <c r="F66" s="509"/>
      <c r="G66" s="508"/>
      <c r="H66" s="56"/>
    </row>
    <row r="67" spans="1:8" x14ac:dyDescent="0.25">
      <c r="A67" s="51">
        <f>A65+1</f>
        <v>31</v>
      </c>
      <c r="B67" s="52"/>
      <c r="C67" s="53" t="s">
        <v>86</v>
      </c>
      <c r="D67" s="54" t="s">
        <v>51</v>
      </c>
      <c r="E67" s="55">
        <v>5</v>
      </c>
      <c r="F67" s="509"/>
      <c r="G67" s="508"/>
      <c r="H67" s="56">
        <f t="shared" ref="H67" si="16">F67*E67+G67*E67</f>
        <v>0</v>
      </c>
    </row>
    <row r="68" spans="1:8" x14ac:dyDescent="0.25">
      <c r="A68" s="51"/>
      <c r="B68" s="58"/>
      <c r="C68" s="71" t="s">
        <v>87</v>
      </c>
      <c r="D68" s="54"/>
      <c r="E68" s="55"/>
      <c r="F68" s="509"/>
      <c r="G68" s="508"/>
      <c r="H68" s="56"/>
    </row>
    <row r="69" spans="1:8" x14ac:dyDescent="0.25">
      <c r="A69" s="51">
        <f>A67+1</f>
        <v>32</v>
      </c>
      <c r="B69" s="52"/>
      <c r="C69" s="53" t="s">
        <v>88</v>
      </c>
      <c r="D69" s="54" t="s">
        <v>51</v>
      </c>
      <c r="E69" s="55">
        <v>4</v>
      </c>
      <c r="F69" s="509"/>
      <c r="G69" s="508"/>
      <c r="H69" s="56">
        <f t="shared" si="14"/>
        <v>0</v>
      </c>
    </row>
    <row r="70" spans="1:8" x14ac:dyDescent="0.25">
      <c r="A70" s="51"/>
      <c r="B70" s="58"/>
      <c r="C70" s="71" t="s">
        <v>87</v>
      </c>
      <c r="D70" s="54"/>
      <c r="E70" s="55"/>
      <c r="F70" s="509"/>
      <c r="G70" s="508"/>
      <c r="H70" s="56"/>
    </row>
    <row r="71" spans="1:8" x14ac:dyDescent="0.25">
      <c r="A71" s="51">
        <f>A69+1</f>
        <v>33</v>
      </c>
      <c r="B71" s="52"/>
      <c r="C71" s="53" t="s">
        <v>89</v>
      </c>
      <c r="D71" s="54" t="s">
        <v>51</v>
      </c>
      <c r="E71" s="55">
        <v>8</v>
      </c>
      <c r="F71" s="509"/>
      <c r="G71" s="508"/>
      <c r="H71" s="56">
        <f t="shared" ref="H71" si="17">F71*E71+G71*E71</f>
        <v>0</v>
      </c>
    </row>
    <row r="72" spans="1:8" x14ac:dyDescent="0.25">
      <c r="A72" s="51"/>
      <c r="B72" s="58"/>
      <c r="C72" s="71" t="s">
        <v>87</v>
      </c>
      <c r="D72" s="54"/>
      <c r="E72" s="55"/>
      <c r="F72" s="509"/>
      <c r="G72" s="508"/>
      <c r="H72" s="56"/>
    </row>
    <row r="73" spans="1:8" x14ac:dyDescent="0.25">
      <c r="A73" s="59"/>
      <c r="B73" s="60"/>
      <c r="C73" s="61"/>
      <c r="D73" s="62"/>
      <c r="E73" s="63"/>
      <c r="F73" s="67"/>
      <c r="G73" s="67"/>
      <c r="H73" s="64">
        <f>SUM(H60:H72)</f>
        <v>0</v>
      </c>
    </row>
    <row r="74" spans="1:8" x14ac:dyDescent="0.25">
      <c r="A74" s="43"/>
      <c r="B74" s="44"/>
      <c r="C74" s="45" t="s">
        <v>90</v>
      </c>
      <c r="D74" s="46"/>
      <c r="E74" s="47"/>
      <c r="F74" s="48"/>
      <c r="G74" s="48"/>
      <c r="H74" s="48"/>
    </row>
    <row r="75" spans="1:8" x14ac:dyDescent="0.25">
      <c r="A75" s="51">
        <f>A71+1</f>
        <v>34</v>
      </c>
      <c r="B75" s="52"/>
      <c r="C75" s="53" t="s">
        <v>91</v>
      </c>
      <c r="D75" s="54" t="s">
        <v>51</v>
      </c>
      <c r="E75" s="55">
        <v>144</v>
      </c>
      <c r="F75" s="509"/>
      <c r="G75" s="508"/>
      <c r="H75" s="56">
        <f t="shared" ref="H75:H97" si="18">F75*E75+G75*E75</f>
        <v>0</v>
      </c>
    </row>
    <row r="76" spans="1:8" ht="27" customHeight="1" x14ac:dyDescent="0.25">
      <c r="A76" s="51"/>
      <c r="B76" s="58"/>
      <c r="C76" s="71" t="s">
        <v>92</v>
      </c>
      <c r="D76" s="54"/>
      <c r="E76" s="55"/>
      <c r="F76" s="509"/>
      <c r="G76" s="508"/>
      <c r="H76" s="56"/>
    </row>
    <row r="77" spans="1:8" ht="15" customHeight="1" x14ac:dyDescent="0.25">
      <c r="A77" s="51">
        <f>A75+1</f>
        <v>35</v>
      </c>
      <c r="B77" s="53"/>
      <c r="C77" s="53" t="s">
        <v>93</v>
      </c>
      <c r="D77" s="54" t="s">
        <v>51</v>
      </c>
      <c r="E77" s="55">
        <v>21</v>
      </c>
      <c r="F77" s="509"/>
      <c r="G77" s="508"/>
      <c r="H77" s="56">
        <f t="shared" si="18"/>
        <v>0</v>
      </c>
    </row>
    <row r="78" spans="1:8" ht="15" customHeight="1" x14ac:dyDescent="0.25">
      <c r="A78" s="51">
        <f>A77+1</f>
        <v>36</v>
      </c>
      <c r="B78" s="53"/>
      <c r="C78" s="53" t="s">
        <v>94</v>
      </c>
      <c r="D78" s="54" t="s">
        <v>51</v>
      </c>
      <c r="E78" s="55">
        <v>3</v>
      </c>
      <c r="F78" s="509"/>
      <c r="G78" s="508"/>
      <c r="H78" s="56">
        <f t="shared" si="18"/>
        <v>0</v>
      </c>
    </row>
    <row r="79" spans="1:8" ht="15" customHeight="1" x14ac:dyDescent="0.25">
      <c r="A79" s="51">
        <f t="shared" ref="A79:A90" si="19">A78+1</f>
        <v>37</v>
      </c>
      <c r="B79" s="53"/>
      <c r="C79" s="53" t="s">
        <v>95</v>
      </c>
      <c r="D79" s="54" t="s">
        <v>51</v>
      </c>
      <c r="E79" s="55">
        <v>27</v>
      </c>
      <c r="F79" s="509"/>
      <c r="G79" s="508"/>
      <c r="H79" s="56">
        <f t="shared" si="18"/>
        <v>0</v>
      </c>
    </row>
    <row r="80" spans="1:8" ht="15" customHeight="1" x14ac:dyDescent="0.25">
      <c r="A80" s="51">
        <f t="shared" si="19"/>
        <v>38</v>
      </c>
      <c r="B80" s="53"/>
      <c r="C80" s="53" t="s">
        <v>96</v>
      </c>
      <c r="D80" s="54" t="s">
        <v>51</v>
      </c>
      <c r="E80" s="55">
        <v>26</v>
      </c>
      <c r="F80" s="509"/>
      <c r="G80" s="508"/>
      <c r="H80" s="56">
        <f t="shared" si="18"/>
        <v>0</v>
      </c>
    </row>
    <row r="81" spans="1:8" ht="15" customHeight="1" x14ac:dyDescent="0.25">
      <c r="A81" s="51">
        <f t="shared" si="19"/>
        <v>39</v>
      </c>
      <c r="B81" s="53"/>
      <c r="C81" s="53" t="s">
        <v>97</v>
      </c>
      <c r="D81" s="54" t="s">
        <v>51</v>
      </c>
      <c r="E81" s="55">
        <v>5</v>
      </c>
      <c r="F81" s="509"/>
      <c r="G81" s="508"/>
      <c r="H81" s="56">
        <f t="shared" si="18"/>
        <v>0</v>
      </c>
    </row>
    <row r="82" spans="1:8" ht="15" customHeight="1" x14ac:dyDescent="0.25">
      <c r="A82" s="51">
        <f t="shared" si="19"/>
        <v>40</v>
      </c>
      <c r="B82" s="53"/>
      <c r="C82" s="53" t="s">
        <v>98</v>
      </c>
      <c r="D82" s="54" t="s">
        <v>51</v>
      </c>
      <c r="E82" s="55">
        <v>36</v>
      </c>
      <c r="F82" s="509"/>
      <c r="G82" s="508"/>
      <c r="H82" s="56">
        <f t="shared" si="18"/>
        <v>0</v>
      </c>
    </row>
    <row r="83" spans="1:8" ht="15" customHeight="1" x14ac:dyDescent="0.25">
      <c r="A83" s="51">
        <f t="shared" si="19"/>
        <v>41</v>
      </c>
      <c r="B83" s="53"/>
      <c r="C83" s="53" t="s">
        <v>99</v>
      </c>
      <c r="D83" s="54" t="s">
        <v>51</v>
      </c>
      <c r="E83" s="55">
        <v>2</v>
      </c>
      <c r="F83" s="509"/>
      <c r="G83" s="508"/>
      <c r="H83" s="56">
        <f t="shared" si="18"/>
        <v>0</v>
      </c>
    </row>
    <row r="84" spans="1:8" ht="15" customHeight="1" x14ac:dyDescent="0.25">
      <c r="A84" s="51">
        <f t="shared" si="19"/>
        <v>42</v>
      </c>
      <c r="B84" s="53"/>
      <c r="C84" s="53" t="s">
        <v>100</v>
      </c>
      <c r="D84" s="54" t="s">
        <v>51</v>
      </c>
      <c r="E84" s="55">
        <v>6</v>
      </c>
      <c r="F84" s="509"/>
      <c r="G84" s="508"/>
      <c r="H84" s="56">
        <f t="shared" si="18"/>
        <v>0</v>
      </c>
    </row>
    <row r="85" spans="1:8" ht="15" customHeight="1" x14ac:dyDescent="0.25">
      <c r="A85" s="51">
        <f t="shared" si="19"/>
        <v>43</v>
      </c>
      <c r="B85" s="53"/>
      <c r="C85" s="53" t="s">
        <v>101</v>
      </c>
      <c r="D85" s="54" t="s">
        <v>51</v>
      </c>
      <c r="E85" s="55">
        <v>1</v>
      </c>
      <c r="F85" s="509"/>
      <c r="G85" s="508"/>
      <c r="H85" s="56">
        <f t="shared" si="18"/>
        <v>0</v>
      </c>
    </row>
    <row r="86" spans="1:8" ht="15" customHeight="1" x14ac:dyDescent="0.25">
      <c r="A86" s="51">
        <f t="shared" si="19"/>
        <v>44</v>
      </c>
      <c r="B86" s="53"/>
      <c r="C86" s="53" t="s">
        <v>102</v>
      </c>
      <c r="D86" s="54" t="s">
        <v>51</v>
      </c>
      <c r="E86" s="55">
        <v>4</v>
      </c>
      <c r="F86" s="509"/>
      <c r="G86" s="508"/>
      <c r="H86" s="56">
        <f t="shared" si="18"/>
        <v>0</v>
      </c>
    </row>
    <row r="87" spans="1:8" ht="15" customHeight="1" x14ac:dyDescent="0.25">
      <c r="A87" s="51">
        <f t="shared" si="19"/>
        <v>45</v>
      </c>
      <c r="B87" s="53"/>
      <c r="C87" s="53" t="s">
        <v>103</v>
      </c>
      <c r="D87" s="54" t="s">
        <v>51</v>
      </c>
      <c r="E87" s="55">
        <v>5</v>
      </c>
      <c r="F87" s="509"/>
      <c r="G87" s="508"/>
      <c r="H87" s="56">
        <f t="shared" si="18"/>
        <v>0</v>
      </c>
    </row>
    <row r="88" spans="1:8" ht="15" customHeight="1" x14ac:dyDescent="0.25">
      <c r="A88" s="51">
        <f t="shared" si="19"/>
        <v>46</v>
      </c>
      <c r="B88" s="53"/>
      <c r="C88" s="53" t="s">
        <v>104</v>
      </c>
      <c r="D88" s="54" t="s">
        <v>51</v>
      </c>
      <c r="E88" s="55">
        <v>8</v>
      </c>
      <c r="F88" s="509"/>
      <c r="G88" s="508"/>
      <c r="H88" s="56">
        <f t="shared" si="18"/>
        <v>0</v>
      </c>
    </row>
    <row r="89" spans="1:8" ht="15" customHeight="1" x14ac:dyDescent="0.25">
      <c r="A89" s="51">
        <f t="shared" si="19"/>
        <v>47</v>
      </c>
      <c r="B89" s="53"/>
      <c r="C89" s="53" t="s">
        <v>105</v>
      </c>
      <c r="D89" s="54" t="s">
        <v>51</v>
      </c>
      <c r="E89" s="55">
        <v>144</v>
      </c>
      <c r="F89" s="509"/>
      <c r="G89" s="508"/>
      <c r="H89" s="56">
        <f t="shared" si="18"/>
        <v>0</v>
      </c>
    </row>
    <row r="90" spans="1:8" ht="16.5" customHeight="1" x14ac:dyDescent="0.25">
      <c r="A90" s="51">
        <f t="shared" si="19"/>
        <v>48</v>
      </c>
      <c r="B90" s="52"/>
      <c r="C90" s="53" t="s">
        <v>106</v>
      </c>
      <c r="D90" s="54" t="s">
        <v>51</v>
      </c>
      <c r="E90" s="55">
        <v>3</v>
      </c>
      <c r="F90" s="509"/>
      <c r="G90" s="508"/>
      <c r="H90" s="56">
        <f t="shared" si="18"/>
        <v>0</v>
      </c>
    </row>
    <row r="91" spans="1:8" ht="26.25" customHeight="1" x14ac:dyDescent="0.25">
      <c r="A91" s="51">
        <f>A90+1</f>
        <v>49</v>
      </c>
      <c r="B91" s="52"/>
      <c r="C91" s="53" t="s">
        <v>107</v>
      </c>
      <c r="D91" s="54" t="s">
        <v>51</v>
      </c>
      <c r="E91" s="55">
        <v>11</v>
      </c>
      <c r="F91" s="509"/>
      <c r="G91" s="508"/>
      <c r="H91" s="56">
        <f t="shared" si="18"/>
        <v>0</v>
      </c>
    </row>
    <row r="92" spans="1:8" ht="15" customHeight="1" x14ac:dyDescent="0.25">
      <c r="A92" s="51"/>
      <c r="B92" s="58"/>
      <c r="C92" s="71" t="s">
        <v>108</v>
      </c>
      <c r="D92" s="54"/>
      <c r="E92" s="55"/>
      <c r="F92" s="509"/>
      <c r="G92" s="508"/>
      <c r="H92" s="56"/>
    </row>
    <row r="93" spans="1:8" x14ac:dyDescent="0.25">
      <c r="A93" s="51">
        <f>A91+1</f>
        <v>50</v>
      </c>
      <c r="B93" s="52"/>
      <c r="C93" s="53" t="s">
        <v>109</v>
      </c>
      <c r="D93" s="54" t="s">
        <v>110</v>
      </c>
      <c r="E93" s="55">
        <v>15</v>
      </c>
      <c r="F93" s="509"/>
      <c r="G93" s="508"/>
      <c r="H93" s="56">
        <f t="shared" si="18"/>
        <v>0</v>
      </c>
    </row>
    <row r="94" spans="1:8" ht="15" customHeight="1" x14ac:dyDescent="0.25">
      <c r="A94" s="51"/>
      <c r="B94" s="58"/>
      <c r="C94" s="71" t="s">
        <v>111</v>
      </c>
      <c r="D94" s="54"/>
      <c r="E94" s="55"/>
      <c r="F94" s="509"/>
      <c r="G94" s="508"/>
      <c r="H94" s="56"/>
    </row>
    <row r="95" spans="1:8" x14ac:dyDescent="0.25">
      <c r="A95" s="51">
        <f>A93+1</f>
        <v>51</v>
      </c>
      <c r="B95" s="52"/>
      <c r="C95" s="53" t="s">
        <v>112</v>
      </c>
      <c r="D95" s="54" t="s">
        <v>51</v>
      </c>
      <c r="E95" s="55">
        <v>600</v>
      </c>
      <c r="F95" s="509"/>
      <c r="G95" s="508"/>
      <c r="H95" s="56">
        <f t="shared" si="18"/>
        <v>0</v>
      </c>
    </row>
    <row r="96" spans="1:8" ht="15" customHeight="1" x14ac:dyDescent="0.25">
      <c r="A96" s="51"/>
      <c r="B96" s="58"/>
      <c r="C96" s="71" t="s">
        <v>113</v>
      </c>
      <c r="D96" s="54"/>
      <c r="E96" s="55"/>
      <c r="F96" s="509"/>
      <c r="G96" s="508"/>
      <c r="H96" s="56"/>
    </row>
    <row r="97" spans="1:8" x14ac:dyDescent="0.25">
      <c r="A97" s="51">
        <f>A95+1</f>
        <v>52</v>
      </c>
      <c r="B97" s="52"/>
      <c r="C97" s="53" t="s">
        <v>114</v>
      </c>
      <c r="D97" s="54" t="s">
        <v>51</v>
      </c>
      <c r="E97" s="55">
        <v>4</v>
      </c>
      <c r="F97" s="509"/>
      <c r="G97" s="508"/>
      <c r="H97" s="56">
        <f t="shared" si="18"/>
        <v>0</v>
      </c>
    </row>
    <row r="98" spans="1:8" ht="15" customHeight="1" x14ac:dyDescent="0.25">
      <c r="A98" s="51"/>
      <c r="B98" s="58"/>
      <c r="C98" s="71" t="s">
        <v>115</v>
      </c>
      <c r="D98" s="54"/>
      <c r="E98" s="55"/>
      <c r="F98" s="509"/>
      <c r="G98" s="508"/>
      <c r="H98" s="56"/>
    </row>
    <row r="99" spans="1:8" x14ac:dyDescent="0.25">
      <c r="A99" s="51">
        <f>A97+1</f>
        <v>53</v>
      </c>
      <c r="B99" s="52"/>
      <c r="C99" s="53" t="s">
        <v>116</v>
      </c>
      <c r="D99" s="54" t="s">
        <v>51</v>
      </c>
      <c r="E99" s="55">
        <v>1</v>
      </c>
      <c r="F99" s="509"/>
      <c r="G99" s="508"/>
      <c r="H99" s="56">
        <f t="shared" ref="H99:H100" si="20">F99*E99+G99*E99</f>
        <v>0</v>
      </c>
    </row>
    <row r="100" spans="1:8" x14ac:dyDescent="0.25">
      <c r="A100" s="51">
        <f>A99+1</f>
        <v>54</v>
      </c>
      <c r="B100" s="52"/>
      <c r="C100" s="53" t="s">
        <v>117</v>
      </c>
      <c r="D100" s="54" t="s">
        <v>51</v>
      </c>
      <c r="E100" s="55">
        <v>1</v>
      </c>
      <c r="F100" s="509"/>
      <c r="G100" s="508"/>
      <c r="H100" s="56">
        <f t="shared" si="20"/>
        <v>0</v>
      </c>
    </row>
    <row r="101" spans="1:8" x14ac:dyDescent="0.25">
      <c r="A101" s="59"/>
      <c r="B101" s="60"/>
      <c r="C101" s="61"/>
      <c r="D101" s="62"/>
      <c r="E101" s="63"/>
      <c r="F101" s="67"/>
      <c r="G101" s="67"/>
      <c r="H101" s="64">
        <f>SUM(H75:H100)</f>
        <v>0</v>
      </c>
    </row>
    <row r="102" spans="1:8" x14ac:dyDescent="0.25">
      <c r="A102" s="43"/>
      <c r="B102" s="44"/>
      <c r="C102" s="45" t="s">
        <v>118</v>
      </c>
      <c r="D102" s="46"/>
      <c r="E102" s="47"/>
      <c r="F102" s="48"/>
      <c r="G102"/>
      <c r="H102"/>
    </row>
    <row r="103" spans="1:8" x14ac:dyDescent="0.25">
      <c r="A103" s="51">
        <f>A100+1</f>
        <v>55</v>
      </c>
      <c r="B103" s="52"/>
      <c r="C103" s="53" t="s">
        <v>119</v>
      </c>
      <c r="D103" s="54" t="s">
        <v>51</v>
      </c>
      <c r="E103" s="55">
        <v>1</v>
      </c>
      <c r="F103" s="509"/>
      <c r="G103" s="508"/>
      <c r="H103" s="56">
        <f t="shared" ref="H103:H105" si="21">F103*E103+G103*E103</f>
        <v>0</v>
      </c>
    </row>
    <row r="104" spans="1:8" ht="15" customHeight="1" x14ac:dyDescent="0.25">
      <c r="A104" s="51"/>
      <c r="B104" s="58"/>
      <c r="C104" s="71" t="s">
        <v>120</v>
      </c>
      <c r="D104" s="54"/>
      <c r="E104" s="55"/>
      <c r="F104" s="509"/>
      <c r="G104" s="508"/>
      <c r="H104" s="56"/>
    </row>
    <row r="105" spans="1:8" x14ac:dyDescent="0.25">
      <c r="A105" s="51">
        <f>A103+1</f>
        <v>56</v>
      </c>
      <c r="B105" s="52"/>
      <c r="C105" s="53" t="s">
        <v>121</v>
      </c>
      <c r="D105" s="65" t="s">
        <v>51</v>
      </c>
      <c r="E105" s="55">
        <v>1</v>
      </c>
      <c r="F105" s="509"/>
      <c r="G105" s="508"/>
      <c r="H105" s="56">
        <f t="shared" si="21"/>
        <v>0</v>
      </c>
    </row>
    <row r="106" spans="1:8" ht="15" customHeight="1" x14ac:dyDescent="0.25">
      <c r="A106" s="51"/>
      <c r="B106" s="58"/>
      <c r="C106" s="71" t="s">
        <v>122</v>
      </c>
      <c r="D106" s="54"/>
      <c r="E106" s="55"/>
      <c r="F106" s="509"/>
      <c r="G106" s="508"/>
      <c r="H106" s="56"/>
    </row>
    <row r="107" spans="1:8" x14ac:dyDescent="0.25">
      <c r="A107" s="59"/>
      <c r="B107" s="60"/>
      <c r="C107" s="61"/>
      <c r="D107" s="62"/>
      <c r="E107" s="63"/>
      <c r="F107" s="67"/>
      <c r="G107" s="67"/>
      <c r="H107" s="64">
        <f>SUM(H103:H106)</f>
        <v>0</v>
      </c>
    </row>
    <row r="108" spans="1:8" x14ac:dyDescent="0.25">
      <c r="A108" s="43"/>
      <c r="B108" s="44"/>
      <c r="C108" s="45" t="s">
        <v>123</v>
      </c>
      <c r="D108" s="46"/>
      <c r="E108" s="47"/>
      <c r="F108" s="48"/>
      <c r="G108" s="48"/>
      <c r="H108"/>
    </row>
    <row r="109" spans="1:8" x14ac:dyDescent="0.25">
      <c r="A109" s="51">
        <f>A105+1</f>
        <v>57</v>
      </c>
      <c r="B109" s="52"/>
      <c r="C109" s="53" t="s">
        <v>124</v>
      </c>
      <c r="D109" s="54" t="s">
        <v>51</v>
      </c>
      <c r="E109" s="55">
        <v>5</v>
      </c>
      <c r="F109" s="509"/>
      <c r="G109" s="508"/>
      <c r="H109" s="56">
        <f>F109*E109+G109*E109</f>
        <v>0</v>
      </c>
    </row>
    <row r="110" spans="1:8" ht="15" customHeight="1" x14ac:dyDescent="0.25">
      <c r="A110" s="51"/>
      <c r="B110" s="58"/>
      <c r="C110" s="71" t="s">
        <v>125</v>
      </c>
      <c r="D110" s="54"/>
      <c r="E110" s="55"/>
      <c r="F110" s="509"/>
      <c r="G110" s="508"/>
      <c r="H110" s="56"/>
    </row>
    <row r="111" spans="1:8" x14ac:dyDescent="0.25">
      <c r="A111" s="51">
        <f>A109+1</f>
        <v>58</v>
      </c>
      <c r="B111" s="52"/>
      <c r="C111" s="53" t="s">
        <v>126</v>
      </c>
      <c r="D111" s="54" t="s">
        <v>51</v>
      </c>
      <c r="E111" s="55">
        <v>4</v>
      </c>
      <c r="F111" s="509"/>
      <c r="G111" s="508"/>
      <c r="H111" s="56">
        <f>F111*E111+G111*E111</f>
        <v>0</v>
      </c>
    </row>
    <row r="112" spans="1:8" ht="15" customHeight="1" x14ac:dyDescent="0.25">
      <c r="A112" s="51"/>
      <c r="B112" s="58"/>
      <c r="C112" s="71" t="s">
        <v>127</v>
      </c>
      <c r="D112" s="54"/>
      <c r="E112" s="55"/>
      <c r="F112" s="509"/>
      <c r="G112" s="508"/>
      <c r="H112" s="56"/>
    </row>
    <row r="113" spans="1:11" x14ac:dyDescent="0.25">
      <c r="A113" s="59"/>
      <c r="B113" s="60"/>
      <c r="C113" s="61"/>
      <c r="D113" s="62"/>
      <c r="E113" s="63"/>
      <c r="F113" s="67"/>
      <c r="G113" s="67"/>
      <c r="H113" s="64">
        <f>SUM(H109:H112)</f>
        <v>0</v>
      </c>
    </row>
    <row r="114" spans="1:11" x14ac:dyDescent="0.25">
      <c r="A114" s="43"/>
      <c r="B114" s="44"/>
      <c r="C114" s="45" t="s">
        <v>128</v>
      </c>
      <c r="D114" s="46"/>
      <c r="E114" s="47"/>
      <c r="F114" s="48"/>
      <c r="G114" s="48"/>
      <c r="H114" s="48"/>
    </row>
    <row r="115" spans="1:11" x14ac:dyDescent="0.25">
      <c r="A115" s="51">
        <f>A111+1</f>
        <v>59</v>
      </c>
      <c r="B115" s="52"/>
      <c r="C115" s="53" t="s">
        <v>129</v>
      </c>
      <c r="D115" s="54" t="s">
        <v>35</v>
      </c>
      <c r="E115" s="55">
        <v>200</v>
      </c>
      <c r="F115" s="509"/>
      <c r="G115" s="508"/>
      <c r="H115" s="56">
        <f t="shared" ref="H115:H118" si="22">F115*E115+G115*E115</f>
        <v>0</v>
      </c>
    </row>
    <row r="116" spans="1:11" x14ac:dyDescent="0.25">
      <c r="A116" s="51">
        <f>A115+1</f>
        <v>60</v>
      </c>
      <c r="B116" s="52"/>
      <c r="C116" s="53" t="s">
        <v>130</v>
      </c>
      <c r="D116" s="54" t="s">
        <v>110</v>
      </c>
      <c r="E116" s="55">
        <v>1</v>
      </c>
      <c r="F116" s="509"/>
      <c r="G116" s="508"/>
      <c r="H116" s="56">
        <f t="shared" si="22"/>
        <v>0</v>
      </c>
    </row>
    <row r="117" spans="1:11" x14ac:dyDescent="0.25">
      <c r="A117" s="51">
        <f t="shared" ref="A117:A118" si="23">A116+1</f>
        <v>61</v>
      </c>
      <c r="B117" s="52"/>
      <c r="C117" s="53" t="s">
        <v>1188</v>
      </c>
      <c r="D117" s="54" t="s">
        <v>110</v>
      </c>
      <c r="E117" s="55">
        <v>1</v>
      </c>
      <c r="F117" s="509"/>
      <c r="G117" s="508"/>
      <c r="H117" s="56">
        <f t="shared" si="22"/>
        <v>0</v>
      </c>
    </row>
    <row r="118" spans="1:11" x14ac:dyDescent="0.25">
      <c r="A118" s="51">
        <f t="shared" si="23"/>
        <v>62</v>
      </c>
      <c r="B118" s="52"/>
      <c r="C118" s="53" t="s">
        <v>131</v>
      </c>
      <c r="D118" s="54" t="s">
        <v>110</v>
      </c>
      <c r="E118" s="55">
        <v>1</v>
      </c>
      <c r="F118" s="508"/>
      <c r="G118" s="508"/>
      <c r="H118" s="56">
        <f t="shared" si="22"/>
        <v>0</v>
      </c>
    </row>
    <row r="119" spans="1:11" x14ac:dyDescent="0.25">
      <c r="F119" s="81"/>
      <c r="G119" s="81"/>
      <c r="H119" s="81">
        <f>SUM(H115:H118)</f>
        <v>0</v>
      </c>
    </row>
    <row r="120" spans="1:11" x14ac:dyDescent="0.25">
      <c r="F120" s="81"/>
      <c r="G120" s="81"/>
      <c r="H120" s="81"/>
    </row>
    <row r="121" spans="1:11" x14ac:dyDescent="0.25">
      <c r="C121" s="82" t="s">
        <v>132</v>
      </c>
      <c r="F121" s="83"/>
      <c r="G121" s="83"/>
      <c r="H121" s="83">
        <f>H119+H113+H101+H73+H58+H36+H18+H107</f>
        <v>0</v>
      </c>
      <c r="J121" s="84"/>
      <c r="K121" s="83"/>
    </row>
    <row r="122" spans="1:11" ht="15.75" thickBot="1" x14ac:dyDescent="0.3">
      <c r="C122" s="85" t="s">
        <v>15</v>
      </c>
      <c r="D122" s="86"/>
      <c r="E122" s="87"/>
      <c r="F122" s="86"/>
      <c r="G122" s="86"/>
      <c r="H122" s="86">
        <f>0.21*H121</f>
        <v>0</v>
      </c>
    </row>
    <row r="123" spans="1:11" ht="15.75" thickTop="1" x14ac:dyDescent="0.25">
      <c r="C123" s="82" t="s">
        <v>133</v>
      </c>
      <c r="F123" s="83"/>
      <c r="G123" s="83"/>
      <c r="H123" s="83">
        <f>H121+H122</f>
        <v>0</v>
      </c>
    </row>
    <row r="125" spans="1:11" ht="58.5" customHeight="1" x14ac:dyDescent="0.25">
      <c r="A125" s="381"/>
      <c r="B125" s="381"/>
      <c r="C125" s="381"/>
      <c r="D125" s="381"/>
      <c r="E125" s="381"/>
      <c r="F125" s="381"/>
      <c r="G125" s="381"/>
      <c r="H125" s="381"/>
    </row>
  </sheetData>
  <sheetProtection algorithmName="SHA-512" hashValue="wprbj0xSalCBjpy8tkcmvgbpLYfTD8PBeuNiErjuYrTusOAtOz/8cVj4MtGtmo9XXTeB+l4epH05WucvgvVpTw==" saltValue="zHLiu5967GoQjfcfXCEL7w==" spinCount="100000" sheet="1" objects="1" scenarios="1"/>
  <mergeCells count="1">
    <mergeCell ref="A125:H125"/>
  </mergeCells>
  <pageMargins left="0.23622047244094491" right="0.23622047244094491" top="0.74803149606299213" bottom="0.74803149606299213" header="0.31496062992125984" footer="0.31496062992125984"/>
  <pageSetup scale="93" orientation="landscape" horizontalDpi="4294967293" r:id="rId1"/>
  <rowBreaks count="2" manualBreakCount="2">
    <brk id="58" max="16383" man="1"/>
    <brk id="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Souhrnný rozpočet</vt:lpstr>
      <vt:lpstr>SO01_mlat_KL</vt:lpstr>
      <vt:lpstr>SO01_mlat</vt:lpstr>
      <vt:lpstr>SO01A_kostky SO 101</vt:lpstr>
      <vt:lpstr>VRN - Vedlejší rozpočtové...</vt:lpstr>
      <vt:lpstr>SO01A_kostky Pokyny </vt:lpstr>
      <vt:lpstr>SO03_mobiliář_KL</vt:lpstr>
      <vt:lpstr>SO03_mobiliář</vt:lpstr>
      <vt:lpstr>SO04_Osvětlení</vt:lpstr>
      <vt:lpstr>SO05_Závlaha</vt:lpstr>
      <vt:lpstr>'SO01A_kostky SO 101'!Názvy_tisku</vt:lpstr>
      <vt:lpstr>SO05_Závlaha!Názvy_tisku</vt:lpstr>
      <vt:lpstr>'VRN - Vedlejší rozpočtové...'!Názvy_tisku</vt:lpstr>
      <vt:lpstr>'SO01A_kostky Pokyny '!Oblast_tisku</vt:lpstr>
      <vt:lpstr>'SO01A_kostky SO 101'!Oblast_tisku</vt:lpstr>
      <vt:lpstr>SO05_Závlaha!Oblast_tisku</vt:lpstr>
      <vt:lpstr>'VRN - Vedlejší rozpočtové...'!Oblast_tisku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Krejčiřík</dc:creator>
  <cp:lastModifiedBy>Přemysl Krejčiřík</cp:lastModifiedBy>
  <dcterms:created xsi:type="dcterms:W3CDTF">2023-12-19T07:24:46Z</dcterms:created>
  <dcterms:modified xsi:type="dcterms:W3CDTF">2024-07-03T08:40:52Z</dcterms:modified>
</cp:coreProperties>
</file>