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1_37DFB569A4991187209096240980FE13AC96EB1C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Sr" sheetId="6" r:id="rId1"/>
    <sheet name="Krycí list rozpočtu" sheetId="3" r:id="rId2"/>
    <sheet name="Rozpočet - Jen podskupiny" sheetId="2" r:id="rId3"/>
    <sheet name="Stavební rozpočet" sheetId="1" r:id="rId4"/>
    <sheet name="VORN" sheetId="4" r:id="rId5"/>
    <sheet name="PIP" sheetId="5" r:id="rId6"/>
    <sheet name="SO 02" sheetId="7" r:id="rId7"/>
    <sheet name="FINAL RNET ostatní" sheetId="10" r:id="rId8"/>
    <sheet name="RNET-5.3 doplění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CENA__" localSheetId="5">#REF!</definedName>
    <definedName name="__CENA__" localSheetId="0">#REF!</definedName>
    <definedName name="__CENA__">#REF!</definedName>
    <definedName name="__MAIN__" localSheetId="0">#REF!</definedName>
    <definedName name="__MAIN__">#REF!</definedName>
    <definedName name="__MAIN___3">#REF!</definedName>
    <definedName name="__MAIN2__" localSheetId="0">#REF!</definedName>
    <definedName name="__MAIN2__">#REF!</definedName>
    <definedName name="__MAIN2___2">#REF!</definedName>
    <definedName name="__MAIN3__">#REF!</definedName>
    <definedName name="__SAZBA__" localSheetId="5">#REF!</definedName>
    <definedName name="__SAZBA__" localSheetId="0">#REF!</definedName>
    <definedName name="__SAZBA__">#REF!</definedName>
    <definedName name="__T0__" localSheetId="0">#REF!</definedName>
    <definedName name="__T0__">#REF!</definedName>
    <definedName name="__T0___3">#REF!</definedName>
    <definedName name="__T1__" localSheetId="0">#REF!</definedName>
    <definedName name="__T1__">#REF!</definedName>
    <definedName name="__T1___3">#REF!</definedName>
    <definedName name="__T2__" localSheetId="0">#REF!</definedName>
    <definedName name="__T2__">#REF!</definedName>
    <definedName name="__T2___1">'[1]Výkaz výměr'!#REF!</definedName>
    <definedName name="__T2___3">#REF!</definedName>
    <definedName name="__T3__" localSheetId="5">#REF!</definedName>
    <definedName name="__T3__" localSheetId="0">#REF!</definedName>
    <definedName name="__T3__">#REF!</definedName>
    <definedName name="__T3___1" localSheetId="5">#REF!</definedName>
    <definedName name="__T3___1" localSheetId="0">#REF!</definedName>
    <definedName name="__T3___1">#REF!</definedName>
    <definedName name="__T3___2" localSheetId="5">#REF!</definedName>
    <definedName name="__T3___2" localSheetId="0">#REF!</definedName>
    <definedName name="__T3___2">#REF!</definedName>
    <definedName name="__T3___3" localSheetId="5">#REF!</definedName>
    <definedName name="__T3___3" localSheetId="0">#REF!</definedName>
    <definedName name="__T3___3">#REF!</definedName>
    <definedName name="__T3___4" localSheetId="5">#REF!</definedName>
    <definedName name="__T3___4" localSheetId="0">#REF!</definedName>
    <definedName name="__T3___4">#REF!</definedName>
    <definedName name="__T3___5" localSheetId="5">#REF!</definedName>
    <definedName name="__T3___5" localSheetId="0">#REF!</definedName>
    <definedName name="__T3___5">#REF!</definedName>
    <definedName name="__T4__">#REF!</definedName>
    <definedName name="__T4___3">#REF!</definedName>
    <definedName name="__T5__">#REF!</definedName>
    <definedName name="__T6__">#REF!</definedName>
    <definedName name="__TE0__">#REF!</definedName>
    <definedName name="__TE1__">#REF!</definedName>
    <definedName name="__TE2__">#REF!</definedName>
    <definedName name="__TE3__">#REF!</definedName>
    <definedName name="__TR0__" localSheetId="0">#REF!</definedName>
    <definedName name="__TR0__">#REF!</definedName>
    <definedName name="__TR0___2">#REF!</definedName>
    <definedName name="__TR1__" localSheetId="0">#REF!</definedName>
    <definedName name="__TR1__">#REF!</definedName>
    <definedName name="__TR1___2">#REF!</definedName>
    <definedName name="__TR2__">#REF!</definedName>
    <definedName name="__TR2___2">#REF!</definedName>
    <definedName name="__TR3__">#REF!</definedName>
    <definedName name="__TR4__">#REF!</definedName>
    <definedName name="__TR5__">#REF!</definedName>
    <definedName name="_1Excel_BuiltIn_Print_Area_1_1">#REF!</definedName>
    <definedName name="_xlnm._FilterDatabase" localSheetId="6" hidden="1">'SO 02'!$A$3:$H$129</definedName>
    <definedName name="_SO16" hidden="1">{#N/A,#N/A,TRUE,"Krycí list"}</definedName>
    <definedName name="A">#REF!</definedName>
    <definedName name="aaaa">'[2]Hydrotechnické výpočty'!#REF!</definedName>
    <definedName name="aaaaa">'[2]Hydrotechnické výpočty'!#REF!</definedName>
    <definedName name="aaaaaaa">'[2]Hydrotechnické výpočty'!#REF!</definedName>
    <definedName name="aaaaaaaa" hidden="1">{#N/A,#N/A,TRUE,"Krycí list"}</definedName>
    <definedName name="Albertovec" hidden="1">{#N/A,#N/A,TRUE,"Krycí list"}</definedName>
    <definedName name="BuiltIn_Print_Area___1">"$List1.$A$#REF!:$F$#REF!"</definedName>
    <definedName name="cascasd">#REF!</definedName>
    <definedName name="cc">#REF!</definedName>
    <definedName name="cisloobjektu">'[3]Krycí list'!$A$5</definedName>
    <definedName name="cislostavby">'[3]Krycí list'!$A$7</definedName>
    <definedName name="ČÁST_DOKUMENTACE">#REF!</definedName>
    <definedName name="DATUM">#REF!</definedName>
    <definedName name="dd" hidden="1">{#N/A,#N/A,TRUE,"Krycí list"}</definedName>
    <definedName name="ddadfsd">#REF!</definedName>
    <definedName name="DĚLENÍ_PROFESNÍHO_DILU">#REF!</definedName>
    <definedName name="dfhghh">#REF!</definedName>
    <definedName name="DÍLČÍ_ČLENĚNÍ">#REF!</definedName>
    <definedName name="Dodavka">[3]Rekapitulace!$G$50</definedName>
    <definedName name="dvdsvg">#REF!</definedName>
    <definedName name="ee">#REF!</definedName>
    <definedName name="elktro_1" hidden="1">{#N/A,#N/A,TRUE,"Krycí list"}</definedName>
    <definedName name="Excel_BuiltIn__FilterDatabase_11">#REF!</definedName>
    <definedName name="Excel_BuiltIn_Print_Area_1">"$List1.$A$#REF!:$F$#REF!"</definedName>
    <definedName name="Excel_BuiltIn_Print_Area_1_1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4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f">'[4]Hydrotechnické výpočty'!#REF!</definedName>
    <definedName name="fbbf">#REF!</definedName>
    <definedName name="FUNKCNI_CLENENI">#REF!</definedName>
    <definedName name="FVCWREC" hidden="1">{#N/A,#N/A,TRUE,"Krycí list"}</definedName>
    <definedName name="GEKO_chlazeni">'[5]FCU-objemový průtok'!$B$42:$B$48</definedName>
    <definedName name="gggg">#REF!</definedName>
    <definedName name="hh">#REF!</definedName>
    <definedName name="HSV">[3]Rekapitulace!$E$50</definedName>
    <definedName name="hydro">'[2]Hydrotechnické výpočty'!#REF!</definedName>
    <definedName name="hydrom">'[2]Hydrotechnické výpočty'!#REF!</definedName>
    <definedName name="Hydrotechnické_výpočty">'[2]Hydrotechnické výpočty'!#REF!</definedName>
    <definedName name="HZS">[3]Rekapitulace!$I$50</definedName>
    <definedName name="K">'[6]Hydrotechnické výpočty I.E'!#REF!</definedName>
    <definedName name="Kan.pří.B2">#REF!</definedName>
    <definedName name="kk">#REF!</definedName>
    <definedName name="L">#REF!</definedName>
    <definedName name="LV_obsluha_hs_pripojka_nn">'[2]Hydrotechnické výpočty'!#REF!</definedName>
    <definedName name="m">'[2]Hydrotechnické výpočty'!#REF!</definedName>
    <definedName name="mila" hidden="1">{#N/A,#N/A,TRUE,"Krycí list"}</definedName>
    <definedName name="Mont">[3]Rekapitulace!$H$50</definedName>
    <definedName name="nazevobjektu">'[3]Krycí list'!$C$5</definedName>
    <definedName name="nazevstavby">'[3]Krycí list'!$C$7</definedName>
    <definedName name="_xlnm.Print_Titles">#REF!</definedName>
    <definedName name="nn">#REF!</definedName>
    <definedName name="nnn">#REF!</definedName>
    <definedName name="nnnn">#REF!</definedName>
    <definedName name="nový" hidden="1">{#N/A,#N/A,TRUE,"Krycí list"}</definedName>
    <definedName name="_xlnm.Print_Area" localSheetId="7">'FINAL RNET ostatní'!$A$1:$E$54</definedName>
    <definedName name="_xlnm.Print_Area" localSheetId="1">'Krycí list rozpočtu'!$A$1:$I$37</definedName>
    <definedName name="_xlnm.Print_Area" localSheetId="5">PIP!$A$1:$F$84</definedName>
    <definedName name="_xlnm.Print_Area" localSheetId="8">'RNET-5.3 doplění'!$A$1:$E$37</definedName>
    <definedName name="_xlnm.Print_Area" localSheetId="2">'Rozpočet - Jen podskupiny'!$A$1:$L$48</definedName>
    <definedName name="_xlnm.Print_Area" localSheetId="6">'SO 02'!$A$1:$H$129</definedName>
    <definedName name="_xlnm.Print_Area" localSheetId="0">(Sr!$A$51:$E$97,Sr!$A$1:$E$49)</definedName>
    <definedName name="_xlnm.Print_Area" localSheetId="3">'Stavební rozpočet'!$A$1:$P$507</definedName>
    <definedName name="_xlnm.Print_Area" localSheetId="4">VORN!$A$1:$I$42</definedName>
    <definedName name="_xlnm.Print_Area">#REF!</definedName>
    <definedName name="oo">#REF!</definedName>
    <definedName name="PROFESNI_DIL">#REF!</definedName>
    <definedName name="PSV">[3]Rekapitulace!$F$50</definedName>
    <definedName name="q">'[4]Hydrotechnické výpočty'!#REF!</definedName>
    <definedName name="qqq">'[4]Hydrotechnické výpočty'!#REF!</definedName>
    <definedName name="rozp" hidden="1">{#N/A,#N/A,TRUE,"Krycí list"}</definedName>
    <definedName name="ROZPOČET_OBJEKT_C">'[7]620_ENN'!#REF!</definedName>
    <definedName name="rr">#REF!</definedName>
    <definedName name="sdfdf">#REF!</definedName>
    <definedName name="smaz" hidden="1">{#N/A,#N/A,TRUE,"Krycí list"}</definedName>
    <definedName name="soupis" hidden="1">{#N/A,#N/A,TRUE,"Krycí list"}</definedName>
    <definedName name="ss">#REF!</definedName>
    <definedName name="SSSSSS" hidden="1">{#N/A,#N/A,TRUE,"Krycí list"}</definedName>
    <definedName name="STAVEBNI_OBJEKT">#REF!</definedName>
    <definedName name="summary" hidden="1">{#N/A,#N/A,TRUE,"Krycí list"}</definedName>
    <definedName name="t">'[6]Hydrotechnické výpočty I.E'!#REF!</definedName>
    <definedName name="test">'[6]Hydrotechnické výpočty I.E'!#REF!</definedName>
    <definedName name="tt">#REF!</definedName>
    <definedName name="ttt">#REF!</definedName>
    <definedName name="ůů">#REF!</definedName>
    <definedName name="V">'[2]Hydrotechnické výpočty'!#REF!</definedName>
    <definedName name="VedProjProfese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L">'[2]Hydrotechnické výpočty'!#REF!</definedName>
    <definedName name="VN" hidden="1">{#N/A,#N/A,TRUE,"Krycí list"}</definedName>
    <definedName name="vorn_sum">VORN!$I$41</definedName>
    <definedName name="VRN">[3]Rekapitulace!$H$69</definedName>
    <definedName name="VYPRACOVAL_01">#REF!</definedName>
    <definedName name="VYPRACOVAL_02">#REF!</definedName>
    <definedName name="VYPRACOVAL_03">#REF!</definedName>
    <definedName name="wrn.Kontrolní._.rozpočet." hidden="1">{#N/A,#N/A,TRUE,"Krycí list"}</definedName>
    <definedName name="wrn.Kontrolní._.rozpoeet." hidden="1">{#N/A,#N/A,TRUE,"Krycí list"}</definedName>
    <definedName name="wwww">#REF!</definedName>
    <definedName name="x">'[2]Hydrotechnické výpočty'!#REF!</definedName>
    <definedName name="Z">'[2]Hydrotechnické výpočty'!#REF!</definedName>
    <definedName name="Zpracova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1" i="9" s="1"/>
  <c r="H97" i="7"/>
  <c r="H95" i="7"/>
  <c r="H93" i="7"/>
  <c r="H91" i="7"/>
  <c r="A8" i="7"/>
  <c r="A11" i="7" s="1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H89" i="7"/>
  <c r="AA7" i="1"/>
  <c r="AI5" i="1"/>
  <c r="BJ302" i="1"/>
  <c r="BJ303" i="1"/>
  <c r="F75" i="5"/>
  <c r="BW303" i="1"/>
  <c r="AK303" i="1"/>
  <c r="AJ303" i="1"/>
  <c r="AH303" i="1"/>
  <c r="AG303" i="1"/>
  <c r="AF303" i="1"/>
  <c r="AE303" i="1"/>
  <c r="AD303" i="1"/>
  <c r="Z303" i="1"/>
  <c r="O303" i="1"/>
  <c r="BF303" i="1" s="1"/>
  <c r="BW302" i="1"/>
  <c r="AK302" i="1"/>
  <c r="AJ302" i="1"/>
  <c r="AH302" i="1"/>
  <c r="AE302" i="1"/>
  <c r="AD302" i="1"/>
  <c r="AC302" i="1"/>
  <c r="AB302" i="1"/>
  <c r="Z302" i="1"/>
  <c r="O302" i="1"/>
  <c r="BF302" i="1" s="1"/>
  <c r="A1" i="5"/>
  <c r="A2" i="5"/>
  <c r="E52" i="10" l="1"/>
  <c r="G6" i="7" s="1"/>
  <c r="H6" i="7" s="1"/>
  <c r="E35" i="9"/>
  <c r="G8" i="7" s="1"/>
  <c r="H8" i="7" s="1"/>
  <c r="A1" i="10"/>
  <c r="L303" i="1"/>
  <c r="AL303" i="1" s="1"/>
  <c r="AP302" i="1"/>
  <c r="AX302" i="1" s="1"/>
  <c r="AP303" i="1"/>
  <c r="BI303" i="1" s="1"/>
  <c r="AC303" i="1" s="1"/>
  <c r="AO302" i="1"/>
  <c r="BH302" i="1" s="1"/>
  <c r="AF302" i="1" s="1"/>
  <c r="BD302" i="1"/>
  <c r="L302" i="1"/>
  <c r="AL302" i="1" s="1"/>
  <c r="BD303" i="1"/>
  <c r="AO303" i="1"/>
  <c r="AW303" i="1" s="1"/>
  <c r="H128" i="7"/>
  <c r="H126" i="7"/>
  <c r="H124" i="7"/>
  <c r="H121" i="7"/>
  <c r="H119" i="7"/>
  <c r="H117" i="7"/>
  <c r="H115" i="7"/>
  <c r="H113" i="7"/>
  <c r="H111" i="7"/>
  <c r="H109" i="7"/>
  <c r="H107" i="7"/>
  <c r="H105" i="7"/>
  <c r="H103" i="7"/>
  <c r="H101" i="7"/>
  <c r="H99" i="7"/>
  <c r="H87" i="7"/>
  <c r="H85" i="7"/>
  <c r="H82" i="7"/>
  <c r="H80" i="7"/>
  <c r="H78" i="7"/>
  <c r="H76" i="7"/>
  <c r="H74" i="7"/>
  <c r="H72" i="7"/>
  <c r="H69" i="7"/>
  <c r="H66" i="7"/>
  <c r="H64" i="7"/>
  <c r="H62" i="7"/>
  <c r="H60" i="7"/>
  <c r="H58" i="7"/>
  <c r="H56" i="7"/>
  <c r="H54" i="7"/>
  <c r="H52" i="7"/>
  <c r="H50" i="7"/>
  <c r="H48" i="7"/>
  <c r="H46" i="7"/>
  <c r="H42" i="7"/>
  <c r="H40" i="7"/>
  <c r="H38" i="7"/>
  <c r="H36" i="7"/>
  <c r="H34" i="7"/>
  <c r="H32" i="7"/>
  <c r="H30" i="7"/>
  <c r="H28" i="7"/>
  <c r="H26" i="7"/>
  <c r="H24" i="7"/>
  <c r="H22" i="7"/>
  <c r="H20" i="7"/>
  <c r="H18" i="7"/>
  <c r="H15" i="7"/>
  <c r="H13" i="7"/>
  <c r="A13" i="7"/>
  <c r="A15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40" i="7" s="1"/>
  <c r="A42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H11" i="7"/>
  <c r="J302" i="1" l="1"/>
  <c r="AX303" i="1"/>
  <c r="BC303" i="1" s="1"/>
  <c r="BI302" i="1"/>
  <c r="AG302" i="1" s="1"/>
  <c r="K303" i="1"/>
  <c r="AW302" i="1"/>
  <c r="AV302" i="1" s="1"/>
  <c r="M303" i="1"/>
  <c r="K302" i="1"/>
  <c r="M302" i="1"/>
  <c r="H2" i="7"/>
  <c r="A69" i="7"/>
  <c r="A72" i="7" s="1"/>
  <c r="A74" i="7" s="1"/>
  <c r="A76" i="7" s="1"/>
  <c r="A78" i="7" s="1"/>
  <c r="A80" i="7" s="1"/>
  <c r="A82" i="7" s="1"/>
  <c r="A85" i="7" s="1"/>
  <c r="A87" i="7" s="1"/>
  <c r="BH303" i="1"/>
  <c r="AB303" i="1" s="1"/>
  <c r="J303" i="1"/>
  <c r="BW385" i="1"/>
  <c r="BJ385" i="1"/>
  <c r="BD385" i="1"/>
  <c r="AP385" i="1"/>
  <c r="AX385" i="1" s="1"/>
  <c r="AO385" i="1"/>
  <c r="BH385" i="1" s="1"/>
  <c r="AB385" i="1" s="1"/>
  <c r="AL385" i="1"/>
  <c r="AJ385" i="1"/>
  <c r="AH385" i="1"/>
  <c r="AG385" i="1"/>
  <c r="AF385" i="1"/>
  <c r="AE385" i="1"/>
  <c r="AD385" i="1"/>
  <c r="Z385" i="1"/>
  <c r="O385" i="1"/>
  <c r="BF385" i="1" s="1"/>
  <c r="L385" i="1"/>
  <c r="AK385" i="1" s="1"/>
  <c r="BW383" i="1"/>
  <c r="BJ383" i="1"/>
  <c r="BD383" i="1"/>
  <c r="AP383" i="1"/>
  <c r="BI383" i="1" s="1"/>
  <c r="AC383" i="1" s="1"/>
  <c r="AO383" i="1"/>
  <c r="BH383" i="1" s="1"/>
  <c r="AB383" i="1" s="1"/>
  <c r="AL383" i="1"/>
  <c r="AJ383" i="1"/>
  <c r="AH383" i="1"/>
  <c r="AG383" i="1"/>
  <c r="AF383" i="1"/>
  <c r="AE383" i="1"/>
  <c r="AD383" i="1"/>
  <c r="Z383" i="1"/>
  <c r="O383" i="1"/>
  <c r="BF383" i="1" s="1"/>
  <c r="L383" i="1"/>
  <c r="AK383" i="1" s="1"/>
  <c r="BW381" i="1"/>
  <c r="BJ381" i="1"/>
  <c r="BD381" i="1"/>
  <c r="AP381" i="1"/>
  <c r="BI381" i="1" s="1"/>
  <c r="AC381" i="1" s="1"/>
  <c r="AO381" i="1"/>
  <c r="AW381" i="1" s="1"/>
  <c r="AL381" i="1"/>
  <c r="AJ381" i="1"/>
  <c r="AH381" i="1"/>
  <c r="AG381" i="1"/>
  <c r="AF381" i="1"/>
  <c r="AE381" i="1"/>
  <c r="AD381" i="1"/>
  <c r="Z381" i="1"/>
  <c r="O381" i="1"/>
  <c r="BF381" i="1" s="1"/>
  <c r="L381" i="1"/>
  <c r="AK381" i="1" s="1"/>
  <c r="K381" i="1"/>
  <c r="K385" i="1" l="1"/>
  <c r="J385" i="1"/>
  <c r="J381" i="1"/>
  <c r="A89" i="7"/>
  <c r="A91" i="7" s="1"/>
  <c r="A93" i="7" s="1"/>
  <c r="A95" i="7" s="1"/>
  <c r="A97" i="7" s="1"/>
  <c r="A99" i="7" s="1"/>
  <c r="A101" i="7" s="1"/>
  <c r="A103" i="7" s="1"/>
  <c r="A105" i="7" s="1"/>
  <c r="A107" i="7" s="1"/>
  <c r="A109" i="7" s="1"/>
  <c r="A111" i="7" s="1"/>
  <c r="A113" i="7" s="1"/>
  <c r="A115" i="7" s="1"/>
  <c r="A117" i="7" s="1"/>
  <c r="A119" i="7" s="1"/>
  <c r="A121" i="7" s="1"/>
  <c r="A124" i="7" s="1"/>
  <c r="A126" i="7" s="1"/>
  <c r="A128" i="7" s="1"/>
  <c r="AV303" i="1"/>
  <c r="E23" i="6"/>
  <c r="E25" i="6" s="1"/>
  <c r="BC302" i="1"/>
  <c r="AW383" i="1"/>
  <c r="AX381" i="1"/>
  <c r="BC381" i="1" s="1"/>
  <c r="J383" i="1"/>
  <c r="M383" i="1"/>
  <c r="K383" i="1"/>
  <c r="M381" i="1"/>
  <c r="AX383" i="1"/>
  <c r="M385" i="1"/>
  <c r="AW385" i="1"/>
  <c r="BI385" i="1"/>
  <c r="AC385" i="1" s="1"/>
  <c r="BH381" i="1"/>
  <c r="AB381" i="1" s="1"/>
  <c r="C40" i="6" l="1"/>
  <c r="E40" i="6" s="1"/>
  <c r="BC383" i="1"/>
  <c r="AV381" i="1"/>
  <c r="AV383" i="1"/>
  <c r="BC385" i="1"/>
  <c r="AV385" i="1"/>
  <c r="BW380" i="1" l="1"/>
  <c r="BJ380" i="1"/>
  <c r="BD380" i="1"/>
  <c r="AP380" i="1"/>
  <c r="AX380" i="1" s="1"/>
  <c r="AO380" i="1"/>
  <c r="BH380" i="1" s="1"/>
  <c r="AB380" i="1" s="1"/>
  <c r="AK380" i="1"/>
  <c r="AJ380" i="1"/>
  <c r="AH380" i="1"/>
  <c r="AG380" i="1"/>
  <c r="AF380" i="1"/>
  <c r="AE380" i="1"/>
  <c r="AD380" i="1"/>
  <c r="Z380" i="1"/>
  <c r="O380" i="1"/>
  <c r="BF380" i="1" s="1"/>
  <c r="L380" i="1"/>
  <c r="AL380" i="1" s="1"/>
  <c r="K380" i="1"/>
  <c r="BW176" i="1"/>
  <c r="BJ176" i="1"/>
  <c r="BD176" i="1"/>
  <c r="AP176" i="1"/>
  <c r="AX176" i="1" s="1"/>
  <c r="AO176" i="1"/>
  <c r="BH176" i="1" s="1"/>
  <c r="AD176" i="1" s="1"/>
  <c r="AK176" i="1"/>
  <c r="AJ176" i="1"/>
  <c r="AH176" i="1"/>
  <c r="AG176" i="1"/>
  <c r="AF176" i="1"/>
  <c r="AC176" i="1"/>
  <c r="AB176" i="1"/>
  <c r="Z176" i="1"/>
  <c r="O176" i="1"/>
  <c r="BF176" i="1" s="1"/>
  <c r="L176" i="1"/>
  <c r="AL176" i="1" s="1"/>
  <c r="J176" i="1"/>
  <c r="BW172" i="1"/>
  <c r="BJ172" i="1"/>
  <c r="BD172" i="1"/>
  <c r="AP172" i="1"/>
  <c r="AX172" i="1" s="1"/>
  <c r="AO172" i="1"/>
  <c r="BH172" i="1" s="1"/>
  <c r="AD172" i="1" s="1"/>
  <c r="AK172" i="1"/>
  <c r="AJ172" i="1"/>
  <c r="AH172" i="1"/>
  <c r="AG172" i="1"/>
  <c r="AF172" i="1"/>
  <c r="AC172" i="1"/>
  <c r="AB172" i="1"/>
  <c r="Z172" i="1"/>
  <c r="O172" i="1"/>
  <c r="BF172" i="1" s="1"/>
  <c r="L172" i="1"/>
  <c r="AL172" i="1" s="1"/>
  <c r="BW444" i="1"/>
  <c r="BJ444" i="1"/>
  <c r="BD444" i="1"/>
  <c r="AP444" i="1"/>
  <c r="AX444" i="1" s="1"/>
  <c r="AO444" i="1"/>
  <c r="BH444" i="1" s="1"/>
  <c r="AB444" i="1" s="1"/>
  <c r="AK444" i="1"/>
  <c r="AJ444" i="1"/>
  <c r="AH444" i="1"/>
  <c r="AG444" i="1"/>
  <c r="AF444" i="1"/>
  <c r="AE444" i="1"/>
  <c r="AD444" i="1"/>
  <c r="Z444" i="1"/>
  <c r="O444" i="1"/>
  <c r="BF444" i="1" s="1"/>
  <c r="L444" i="1"/>
  <c r="AL444" i="1" s="1"/>
  <c r="BW442" i="1"/>
  <c r="BJ442" i="1"/>
  <c r="BD442" i="1"/>
  <c r="AP442" i="1"/>
  <c r="AX442" i="1" s="1"/>
  <c r="AO442" i="1"/>
  <c r="BH442" i="1" s="1"/>
  <c r="AB442" i="1" s="1"/>
  <c r="AK442" i="1"/>
  <c r="AJ442" i="1"/>
  <c r="AH442" i="1"/>
  <c r="AG442" i="1"/>
  <c r="AF442" i="1"/>
  <c r="AE442" i="1"/>
  <c r="AD442" i="1"/>
  <c r="Z442" i="1"/>
  <c r="O442" i="1"/>
  <c r="BF442" i="1" s="1"/>
  <c r="L442" i="1"/>
  <c r="AL442" i="1" s="1"/>
  <c r="BW467" i="1"/>
  <c r="BJ467" i="1"/>
  <c r="BD467" i="1"/>
  <c r="AP467" i="1"/>
  <c r="AX467" i="1" s="1"/>
  <c r="AO467" i="1"/>
  <c r="BH467" i="1" s="1"/>
  <c r="AB467" i="1" s="1"/>
  <c r="AK467" i="1"/>
  <c r="AJ467" i="1"/>
  <c r="AH467" i="1"/>
  <c r="AG467" i="1"/>
  <c r="AF467" i="1"/>
  <c r="AE467" i="1"/>
  <c r="AD467" i="1"/>
  <c r="Z467" i="1"/>
  <c r="O467" i="1"/>
  <c r="BF467" i="1" s="1"/>
  <c r="L467" i="1"/>
  <c r="AL467" i="1" s="1"/>
  <c r="K467" i="1"/>
  <c r="J467" i="1"/>
  <c r="K176" i="1" l="1"/>
  <c r="J172" i="1"/>
  <c r="J444" i="1"/>
  <c r="J442" i="1"/>
  <c r="K442" i="1"/>
  <c r="K172" i="1"/>
  <c r="K444" i="1"/>
  <c r="J380" i="1"/>
  <c r="M380" i="1"/>
  <c r="AW380" i="1"/>
  <c r="BI380" i="1"/>
  <c r="AC380" i="1" s="1"/>
  <c r="M176" i="1"/>
  <c r="AW176" i="1"/>
  <c r="BI176" i="1"/>
  <c r="AE176" i="1" s="1"/>
  <c r="M172" i="1"/>
  <c r="AW172" i="1"/>
  <c r="BI172" i="1"/>
  <c r="AE172" i="1" s="1"/>
  <c r="M444" i="1"/>
  <c r="AW444" i="1"/>
  <c r="BI444" i="1"/>
  <c r="AC444" i="1" s="1"/>
  <c r="M442" i="1"/>
  <c r="AW442" i="1"/>
  <c r="BI442" i="1"/>
  <c r="AC442" i="1" s="1"/>
  <c r="BI467" i="1"/>
  <c r="AC467" i="1" s="1"/>
  <c r="M467" i="1"/>
  <c r="AW467" i="1"/>
  <c r="BC380" i="1" l="1"/>
  <c r="AV380" i="1"/>
  <c r="BC176" i="1"/>
  <c r="AV176" i="1"/>
  <c r="BC172" i="1"/>
  <c r="AV172" i="1"/>
  <c r="BC444" i="1"/>
  <c r="AV444" i="1"/>
  <c r="BC442" i="1"/>
  <c r="AV442" i="1"/>
  <c r="AV467" i="1"/>
  <c r="BC467" i="1"/>
  <c r="BW463" i="1" l="1"/>
  <c r="BJ463" i="1"/>
  <c r="BD463" i="1"/>
  <c r="AP463" i="1"/>
  <c r="AX463" i="1" s="1"/>
  <c r="AO463" i="1"/>
  <c r="BH463" i="1" s="1"/>
  <c r="AB463" i="1" s="1"/>
  <c r="AK463" i="1"/>
  <c r="AJ463" i="1"/>
  <c r="AH463" i="1"/>
  <c r="AG463" i="1"/>
  <c r="AF463" i="1"/>
  <c r="AE463" i="1"/>
  <c r="AD463" i="1"/>
  <c r="Z463" i="1"/>
  <c r="O463" i="1"/>
  <c r="BF463" i="1" s="1"/>
  <c r="L463" i="1"/>
  <c r="AL463" i="1" s="1"/>
  <c r="K463" i="1"/>
  <c r="J463" i="1"/>
  <c r="D2" i="1"/>
  <c r="D18" i="3"/>
  <c r="D19" i="3"/>
  <c r="D20" i="3"/>
  <c r="D17" i="3"/>
  <c r="I28" i="4"/>
  <c r="M463" i="1" l="1"/>
  <c r="AW463" i="1"/>
  <c r="BI463" i="1"/>
  <c r="AC463" i="1" s="1"/>
  <c r="BC463" i="1" l="1"/>
  <c r="AV463" i="1"/>
  <c r="BW236" i="1"/>
  <c r="BJ236" i="1"/>
  <c r="BD236" i="1"/>
  <c r="AP236" i="1"/>
  <c r="AX236" i="1" s="1"/>
  <c r="AO236" i="1"/>
  <c r="BH236" i="1" s="1"/>
  <c r="AB236" i="1" s="1"/>
  <c r="AK236" i="1"/>
  <c r="AJ236" i="1"/>
  <c r="AH236" i="1"/>
  <c r="AG236" i="1"/>
  <c r="AF236" i="1"/>
  <c r="AE236" i="1"/>
  <c r="AD236" i="1"/>
  <c r="Z236" i="1"/>
  <c r="O236" i="1"/>
  <c r="BF236" i="1" s="1"/>
  <c r="L236" i="1"/>
  <c r="AL236" i="1" s="1"/>
  <c r="J236" i="1"/>
  <c r="BW148" i="1"/>
  <c r="BD148" i="1"/>
  <c r="AP148" i="1"/>
  <c r="AO148" i="1"/>
  <c r="BH148" i="1" s="1"/>
  <c r="AD148" i="1" s="1"/>
  <c r="AK148" i="1"/>
  <c r="AJ148" i="1"/>
  <c r="AH148" i="1"/>
  <c r="AG148" i="1"/>
  <c r="AF148" i="1"/>
  <c r="AC148" i="1"/>
  <c r="AB148" i="1"/>
  <c r="Z148" i="1"/>
  <c r="BW138" i="1"/>
  <c r="AK138" i="1"/>
  <c r="AJ138" i="1"/>
  <c r="AH138" i="1"/>
  <c r="AG138" i="1"/>
  <c r="AF138" i="1"/>
  <c r="AE138" i="1"/>
  <c r="AD138" i="1"/>
  <c r="AC138" i="1"/>
  <c r="AB138" i="1"/>
  <c r="O138" i="1"/>
  <c r="BF138" i="1" s="1"/>
  <c r="BW137" i="1"/>
  <c r="BJ137" i="1"/>
  <c r="BD137" i="1"/>
  <c r="AP137" i="1"/>
  <c r="AX137" i="1" s="1"/>
  <c r="AO137" i="1"/>
  <c r="BH137" i="1" s="1"/>
  <c r="AD137" i="1" s="1"/>
  <c r="AK137" i="1"/>
  <c r="AJ137" i="1"/>
  <c r="AH137" i="1"/>
  <c r="AG137" i="1"/>
  <c r="AF137" i="1"/>
  <c r="AC137" i="1"/>
  <c r="AB137" i="1"/>
  <c r="Z137" i="1"/>
  <c r="O137" i="1"/>
  <c r="BF137" i="1" s="1"/>
  <c r="L137" i="1"/>
  <c r="AL137" i="1" s="1"/>
  <c r="J137" i="1"/>
  <c r="P20" i="2"/>
  <c r="BW58" i="1"/>
  <c r="BJ58" i="1"/>
  <c r="BD58" i="1"/>
  <c r="AP58" i="1"/>
  <c r="AX58" i="1" s="1"/>
  <c r="AO58" i="1"/>
  <c r="BH58" i="1" s="1"/>
  <c r="AB58" i="1" s="1"/>
  <c r="AK58" i="1"/>
  <c r="AT57" i="1" s="1"/>
  <c r="AJ58" i="1"/>
  <c r="AS57" i="1" s="1"/>
  <c r="AH58" i="1"/>
  <c r="AG58" i="1"/>
  <c r="AF58" i="1"/>
  <c r="AE58" i="1"/>
  <c r="AD58" i="1"/>
  <c r="Z58" i="1"/>
  <c r="O58" i="1"/>
  <c r="BF58" i="1" s="1"/>
  <c r="L58" i="1"/>
  <c r="L57" i="1" s="1"/>
  <c r="K20" i="2" s="1"/>
  <c r="N20" i="2" s="1"/>
  <c r="BW45" i="1"/>
  <c r="BJ45" i="1"/>
  <c r="BD45" i="1"/>
  <c r="AP45" i="1"/>
  <c r="AX45" i="1" s="1"/>
  <c r="AO45" i="1"/>
  <c r="BH45" i="1" s="1"/>
  <c r="AB45" i="1" s="1"/>
  <c r="AK45" i="1"/>
  <c r="AJ45" i="1"/>
  <c r="AH45" i="1"/>
  <c r="AG45" i="1"/>
  <c r="AF45" i="1"/>
  <c r="AE45" i="1"/>
  <c r="AD45" i="1"/>
  <c r="Z45" i="1"/>
  <c r="O45" i="1"/>
  <c r="BF45" i="1" s="1"/>
  <c r="L45" i="1"/>
  <c r="AL45" i="1" s="1"/>
  <c r="BW44" i="1"/>
  <c r="BJ44" i="1"/>
  <c r="BD44" i="1"/>
  <c r="AP44" i="1"/>
  <c r="AX44" i="1" s="1"/>
  <c r="AO44" i="1"/>
  <c r="BH44" i="1" s="1"/>
  <c r="AB44" i="1" s="1"/>
  <c r="AK44" i="1"/>
  <c r="AJ44" i="1"/>
  <c r="AH44" i="1"/>
  <c r="AG44" i="1"/>
  <c r="AF44" i="1"/>
  <c r="AE44" i="1"/>
  <c r="AD44" i="1"/>
  <c r="Z44" i="1"/>
  <c r="O44" i="1"/>
  <c r="BF44" i="1" s="1"/>
  <c r="L44" i="1"/>
  <c r="AL44" i="1" s="1"/>
  <c r="A17" i="1"/>
  <c r="A19" i="1" s="1"/>
  <c r="BW19" i="1"/>
  <c r="BJ19" i="1"/>
  <c r="BD19" i="1"/>
  <c r="AP19" i="1"/>
  <c r="AX19" i="1" s="1"/>
  <c r="AO19" i="1"/>
  <c r="BH19" i="1" s="1"/>
  <c r="AB19" i="1" s="1"/>
  <c r="AK19" i="1"/>
  <c r="AJ19" i="1"/>
  <c r="AH19" i="1"/>
  <c r="AG19" i="1"/>
  <c r="AF19" i="1"/>
  <c r="AE19" i="1"/>
  <c r="AD19" i="1"/>
  <c r="Z19" i="1"/>
  <c r="O19" i="1"/>
  <c r="L19" i="1"/>
  <c r="AL19" i="1" s="1"/>
  <c r="K19" i="1"/>
  <c r="BW17" i="1"/>
  <c r="BJ17" i="1"/>
  <c r="BD17" i="1"/>
  <c r="AP17" i="1"/>
  <c r="AX17" i="1" s="1"/>
  <c r="AO17" i="1"/>
  <c r="BH17" i="1" s="1"/>
  <c r="AB17" i="1" s="1"/>
  <c r="AK17" i="1"/>
  <c r="AJ17" i="1"/>
  <c r="AH17" i="1"/>
  <c r="AG17" i="1"/>
  <c r="AF17" i="1"/>
  <c r="AE17" i="1"/>
  <c r="AD17" i="1"/>
  <c r="Z17" i="1"/>
  <c r="O17" i="1"/>
  <c r="BF17" i="1" s="1"/>
  <c r="L17" i="1"/>
  <c r="AL17" i="1" s="1"/>
  <c r="K17" i="1"/>
  <c r="J19" i="1" l="1"/>
  <c r="K236" i="1"/>
  <c r="K58" i="1"/>
  <c r="K57" i="1" s="1"/>
  <c r="J20" i="2" s="1"/>
  <c r="K137" i="1"/>
  <c r="J45" i="1"/>
  <c r="K45" i="1"/>
  <c r="BJ148" i="1"/>
  <c r="J44" i="1"/>
  <c r="BF19" i="1"/>
  <c r="J17" i="1"/>
  <c r="L148" i="1"/>
  <c r="AL148" i="1" s="1"/>
  <c r="O148" i="1"/>
  <c r="BF148" i="1" s="1"/>
  <c r="J148" i="1"/>
  <c r="K148" i="1"/>
  <c r="K44" i="1"/>
  <c r="J58" i="1"/>
  <c r="J57" i="1" s="1"/>
  <c r="I20" i="2" s="1"/>
  <c r="AX148" i="1"/>
  <c r="O57" i="1"/>
  <c r="L20" i="2" s="1"/>
  <c r="M236" i="1"/>
  <c r="AW236" i="1"/>
  <c r="BI236" i="1"/>
  <c r="AC236" i="1" s="1"/>
  <c r="AW148" i="1"/>
  <c r="BI148" i="1"/>
  <c r="AE148" i="1" s="1"/>
  <c r="BI137" i="1"/>
  <c r="AE137" i="1" s="1"/>
  <c r="M137" i="1"/>
  <c r="AW137" i="1"/>
  <c r="M58" i="1"/>
  <c r="M57" i="1" s="1"/>
  <c r="AL58" i="1"/>
  <c r="AU57" i="1" s="1"/>
  <c r="AW58" i="1"/>
  <c r="BI58" i="1"/>
  <c r="AC58" i="1" s="1"/>
  <c r="M44" i="1"/>
  <c r="AW44" i="1"/>
  <c r="M45" i="1"/>
  <c r="AW45" i="1"/>
  <c r="BI45" i="1"/>
  <c r="AC45" i="1" s="1"/>
  <c r="BI44" i="1"/>
  <c r="AC44" i="1" s="1"/>
  <c r="M17" i="1"/>
  <c r="AW17" i="1"/>
  <c r="M19" i="1"/>
  <c r="AW19" i="1"/>
  <c r="BI17" i="1"/>
  <c r="AC17" i="1" s="1"/>
  <c r="BI19" i="1"/>
  <c r="AC19" i="1" s="1"/>
  <c r="M148" i="1" l="1"/>
  <c r="BC236" i="1"/>
  <c r="AV236" i="1"/>
  <c r="BC148" i="1"/>
  <c r="AV148" i="1"/>
  <c r="BC137" i="1"/>
  <c r="AV137" i="1"/>
  <c r="BC58" i="1"/>
  <c r="AV58" i="1"/>
  <c r="AV44" i="1"/>
  <c r="BC44" i="1"/>
  <c r="BC45" i="1"/>
  <c r="AV45" i="1"/>
  <c r="BC17" i="1"/>
  <c r="AV17" i="1"/>
  <c r="BC19" i="1"/>
  <c r="AV19" i="1"/>
  <c r="BW473" i="1" l="1"/>
  <c r="BJ473" i="1"/>
  <c r="BD473" i="1"/>
  <c r="AP473" i="1"/>
  <c r="AX473" i="1" s="1"/>
  <c r="AO473" i="1"/>
  <c r="BH473" i="1" s="1"/>
  <c r="AB473" i="1" s="1"/>
  <c r="AK473" i="1"/>
  <c r="AJ473" i="1"/>
  <c r="AH473" i="1"/>
  <c r="AG473" i="1"/>
  <c r="AF473" i="1"/>
  <c r="AE473" i="1"/>
  <c r="AD473" i="1"/>
  <c r="Z473" i="1"/>
  <c r="O473" i="1"/>
  <c r="BF473" i="1" s="1"/>
  <c r="L473" i="1"/>
  <c r="AL473" i="1" s="1"/>
  <c r="K473" i="1"/>
  <c r="J473" i="1"/>
  <c r="A24" i="1"/>
  <c r="A27" i="1" s="1"/>
  <c r="A31" i="1" s="1"/>
  <c r="A35" i="1" s="1"/>
  <c r="A36" i="1" s="1"/>
  <c r="A39" i="1" s="1"/>
  <c r="A40" i="1" s="1"/>
  <c r="A42" i="1" s="1"/>
  <c r="A44" i="1" l="1"/>
  <c r="A45" i="1" s="1"/>
  <c r="A47" i="1" s="1"/>
  <c r="A49" i="1" s="1"/>
  <c r="A51" i="1" s="1"/>
  <c r="A53" i="1" s="1"/>
  <c r="A55" i="1" s="1"/>
  <c r="M473" i="1"/>
  <c r="AW473" i="1"/>
  <c r="BI473" i="1"/>
  <c r="AC473" i="1" s="1"/>
  <c r="I40" i="4"/>
  <c r="I41" i="4" s="1"/>
  <c r="I24" i="3" s="1"/>
  <c r="I31" i="4"/>
  <c r="I19" i="3" s="1"/>
  <c r="I30" i="4"/>
  <c r="I29" i="4"/>
  <c r="I17" i="3" s="1"/>
  <c r="I27" i="4"/>
  <c r="I21" i="4"/>
  <c r="F20" i="3" s="1"/>
  <c r="I20" i="4"/>
  <c r="F19" i="3" s="1"/>
  <c r="I19" i="4"/>
  <c r="F18" i="3" s="1"/>
  <c r="I18" i="4"/>
  <c r="F17" i="3" s="1"/>
  <c r="I17" i="4"/>
  <c r="F16" i="3" s="1"/>
  <c r="I16" i="4"/>
  <c r="F15" i="3" s="1"/>
  <c r="I15" i="4"/>
  <c r="F14" i="3" s="1"/>
  <c r="I10" i="4"/>
  <c r="F10" i="4"/>
  <c r="C10" i="4"/>
  <c r="F8" i="4"/>
  <c r="C8" i="4"/>
  <c r="F6" i="4"/>
  <c r="C6" i="4"/>
  <c r="F4" i="4"/>
  <c r="C4" i="4"/>
  <c r="F2" i="4"/>
  <c r="C2" i="4"/>
  <c r="I18" i="3"/>
  <c r="I15" i="3"/>
  <c r="I10" i="3"/>
  <c r="F10" i="3"/>
  <c r="C10" i="3"/>
  <c r="F8" i="3"/>
  <c r="C8" i="3"/>
  <c r="F6" i="3"/>
  <c r="C6" i="3"/>
  <c r="F4" i="3"/>
  <c r="C4" i="3"/>
  <c r="F2" i="3"/>
  <c r="C2" i="3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19" i="2"/>
  <c r="P18" i="2"/>
  <c r="P17" i="2"/>
  <c r="P16" i="2"/>
  <c r="P15" i="2"/>
  <c r="P14" i="2"/>
  <c r="P13" i="2"/>
  <c r="P12" i="2"/>
  <c r="J8" i="2"/>
  <c r="H8" i="2"/>
  <c r="D8" i="2"/>
  <c r="J6" i="2"/>
  <c r="H6" i="2"/>
  <c r="D6" i="2"/>
  <c r="J4" i="2"/>
  <c r="H4" i="2"/>
  <c r="D4" i="2"/>
  <c r="J2" i="2"/>
  <c r="H2" i="2"/>
  <c r="D2" i="2"/>
  <c r="BW503" i="1"/>
  <c r="BJ503" i="1"/>
  <c r="BD503" i="1"/>
  <c r="AP503" i="1"/>
  <c r="BI503" i="1" s="1"/>
  <c r="AG503" i="1" s="1"/>
  <c r="AO503" i="1"/>
  <c r="AK503" i="1"/>
  <c r="AJ503" i="1"/>
  <c r="AH503" i="1"/>
  <c r="AE503" i="1"/>
  <c r="AD503" i="1"/>
  <c r="AC503" i="1"/>
  <c r="AB503" i="1"/>
  <c r="Z503" i="1"/>
  <c r="O503" i="1"/>
  <c r="BF503" i="1" s="1"/>
  <c r="L503" i="1"/>
  <c r="BW501" i="1"/>
  <c r="BJ501" i="1"/>
  <c r="BD501" i="1"/>
  <c r="AP501" i="1"/>
  <c r="BI501" i="1" s="1"/>
  <c r="AG501" i="1" s="1"/>
  <c r="AO501" i="1"/>
  <c r="AW501" i="1" s="1"/>
  <c r="AK501" i="1"/>
  <c r="AJ501" i="1"/>
  <c r="AH501" i="1"/>
  <c r="AE501" i="1"/>
  <c r="AD501" i="1"/>
  <c r="AC501" i="1"/>
  <c r="AB501" i="1"/>
  <c r="Z501" i="1"/>
  <c r="O501" i="1"/>
  <c r="BF501" i="1" s="1"/>
  <c r="L501" i="1"/>
  <c r="BW498" i="1"/>
  <c r="BJ498" i="1"/>
  <c r="BD498" i="1"/>
  <c r="AP498" i="1"/>
  <c r="BI498" i="1" s="1"/>
  <c r="AG498" i="1" s="1"/>
  <c r="AO498" i="1"/>
  <c r="AK498" i="1"/>
  <c r="AJ498" i="1"/>
  <c r="AH498" i="1"/>
  <c r="AE498" i="1"/>
  <c r="AD498" i="1"/>
  <c r="AC498" i="1"/>
  <c r="AB498" i="1"/>
  <c r="Z498" i="1"/>
  <c r="O498" i="1"/>
  <c r="BF498" i="1" s="1"/>
  <c r="L498" i="1"/>
  <c r="K498" i="1"/>
  <c r="BW496" i="1"/>
  <c r="BJ496" i="1"/>
  <c r="BD496" i="1"/>
  <c r="AP496" i="1"/>
  <c r="BI496" i="1" s="1"/>
  <c r="AG496" i="1" s="1"/>
  <c r="AO496" i="1"/>
  <c r="AW496" i="1" s="1"/>
  <c r="AK496" i="1"/>
  <c r="AJ496" i="1"/>
  <c r="AH496" i="1"/>
  <c r="AE496" i="1"/>
  <c r="AD496" i="1"/>
  <c r="AC496" i="1"/>
  <c r="AB496" i="1"/>
  <c r="Z496" i="1"/>
  <c r="O496" i="1"/>
  <c r="BF496" i="1" s="1"/>
  <c r="L496" i="1"/>
  <c r="K496" i="1"/>
  <c r="J496" i="1"/>
  <c r="BW493" i="1"/>
  <c r="BJ493" i="1"/>
  <c r="BD493" i="1"/>
  <c r="AP493" i="1"/>
  <c r="BI493" i="1" s="1"/>
  <c r="AG493" i="1" s="1"/>
  <c r="AO493" i="1"/>
  <c r="AK493" i="1"/>
  <c r="AJ493" i="1"/>
  <c r="AH493" i="1"/>
  <c r="AE493" i="1"/>
  <c r="AD493" i="1"/>
  <c r="AC493" i="1"/>
  <c r="AB493" i="1"/>
  <c r="Z493" i="1"/>
  <c r="O493" i="1"/>
  <c r="L493" i="1"/>
  <c r="BW491" i="1"/>
  <c r="BJ491" i="1"/>
  <c r="BD491" i="1"/>
  <c r="AP491" i="1"/>
  <c r="BI491" i="1" s="1"/>
  <c r="AG491" i="1" s="1"/>
  <c r="AO491" i="1"/>
  <c r="AW491" i="1" s="1"/>
  <c r="AK491" i="1"/>
  <c r="AJ491" i="1"/>
  <c r="AH491" i="1"/>
  <c r="AE491" i="1"/>
  <c r="AD491" i="1"/>
  <c r="AC491" i="1"/>
  <c r="AB491" i="1"/>
  <c r="Z491" i="1"/>
  <c r="O491" i="1"/>
  <c r="BF491" i="1" s="1"/>
  <c r="L491" i="1"/>
  <c r="AL491" i="1" s="1"/>
  <c r="BW489" i="1"/>
  <c r="AK489" i="1"/>
  <c r="AJ489" i="1"/>
  <c r="AH489" i="1"/>
  <c r="AG489" i="1"/>
  <c r="AF489" i="1"/>
  <c r="AE489" i="1"/>
  <c r="AD489" i="1"/>
  <c r="Z489" i="1"/>
  <c r="O489" i="1"/>
  <c r="BF489" i="1" s="1"/>
  <c r="BW488" i="1"/>
  <c r="AK488" i="1"/>
  <c r="AJ488" i="1"/>
  <c r="AH488" i="1"/>
  <c r="AE488" i="1"/>
  <c r="AD488" i="1"/>
  <c r="AC488" i="1"/>
  <c r="AB488" i="1"/>
  <c r="Z488" i="1"/>
  <c r="O488" i="1"/>
  <c r="BF488" i="1" s="1"/>
  <c r="BW487" i="1"/>
  <c r="BJ487" i="1"/>
  <c r="BD487" i="1"/>
  <c r="AP487" i="1"/>
  <c r="AO487" i="1"/>
  <c r="BH487" i="1" s="1"/>
  <c r="AF487" i="1" s="1"/>
  <c r="AK487" i="1"/>
  <c r="AJ487" i="1"/>
  <c r="AH487" i="1"/>
  <c r="AE487" i="1"/>
  <c r="AD487" i="1"/>
  <c r="AC487" i="1"/>
  <c r="AB487" i="1"/>
  <c r="Z487" i="1"/>
  <c r="O487" i="1"/>
  <c r="BF487" i="1" s="1"/>
  <c r="L487" i="1"/>
  <c r="AL487" i="1" s="1"/>
  <c r="BW485" i="1"/>
  <c r="BJ485" i="1"/>
  <c r="BD485" i="1"/>
  <c r="AP485" i="1"/>
  <c r="AO485" i="1"/>
  <c r="BH485" i="1" s="1"/>
  <c r="AF485" i="1" s="1"/>
  <c r="AK485" i="1"/>
  <c r="AJ485" i="1"/>
  <c r="AH485" i="1"/>
  <c r="AE485" i="1"/>
  <c r="AD485" i="1"/>
  <c r="AC485" i="1"/>
  <c r="AB485" i="1"/>
  <c r="Z485" i="1"/>
  <c r="O485" i="1"/>
  <c r="BF485" i="1" s="1"/>
  <c r="L485" i="1"/>
  <c r="AL485" i="1" s="1"/>
  <c r="BW484" i="1"/>
  <c r="BJ484" i="1"/>
  <c r="BD484" i="1"/>
  <c r="AP484" i="1"/>
  <c r="AO484" i="1"/>
  <c r="BH484" i="1" s="1"/>
  <c r="AF484" i="1" s="1"/>
  <c r="AK484" i="1"/>
  <c r="AJ484" i="1"/>
  <c r="AH484" i="1"/>
  <c r="AE484" i="1"/>
  <c r="AD484" i="1"/>
  <c r="AC484" i="1"/>
  <c r="AB484" i="1"/>
  <c r="Z484" i="1"/>
  <c r="O484" i="1"/>
  <c r="BF484" i="1" s="1"/>
  <c r="L484" i="1"/>
  <c r="AL484" i="1" s="1"/>
  <c r="BW483" i="1"/>
  <c r="BJ483" i="1"/>
  <c r="BD483" i="1"/>
  <c r="AP483" i="1"/>
  <c r="AO483" i="1"/>
  <c r="BH483" i="1" s="1"/>
  <c r="AF483" i="1" s="1"/>
  <c r="AK483" i="1"/>
  <c r="AJ483" i="1"/>
  <c r="AH483" i="1"/>
  <c r="AE483" i="1"/>
  <c r="AD483" i="1"/>
  <c r="AC483" i="1"/>
  <c r="AB483" i="1"/>
  <c r="Z483" i="1"/>
  <c r="O483" i="1"/>
  <c r="BF483" i="1" s="1"/>
  <c r="L483" i="1"/>
  <c r="AL483" i="1" s="1"/>
  <c r="BW481" i="1"/>
  <c r="BJ481" i="1"/>
  <c r="BD481" i="1"/>
  <c r="AP481" i="1"/>
  <c r="AO481" i="1"/>
  <c r="BH481" i="1" s="1"/>
  <c r="AB481" i="1" s="1"/>
  <c r="AK481" i="1"/>
  <c r="AJ481" i="1"/>
  <c r="AH481" i="1"/>
  <c r="AG481" i="1"/>
  <c r="AF481" i="1"/>
  <c r="AE481" i="1"/>
  <c r="AD481" i="1"/>
  <c r="Z481" i="1"/>
  <c r="O481" i="1"/>
  <c r="BF481" i="1" s="1"/>
  <c r="L481" i="1"/>
  <c r="AL481" i="1" s="1"/>
  <c r="BW479" i="1"/>
  <c r="BJ479" i="1"/>
  <c r="BD479" i="1"/>
  <c r="AP479" i="1"/>
  <c r="AO479" i="1"/>
  <c r="BH479" i="1" s="1"/>
  <c r="AB479" i="1" s="1"/>
  <c r="AK479" i="1"/>
  <c r="AJ479" i="1"/>
  <c r="AH479" i="1"/>
  <c r="AG479" i="1"/>
  <c r="AF479" i="1"/>
  <c r="AE479" i="1"/>
  <c r="AD479" i="1"/>
  <c r="Z479" i="1"/>
  <c r="O479" i="1"/>
  <c r="BF479" i="1" s="1"/>
  <c r="L479" i="1"/>
  <c r="AL479" i="1" s="1"/>
  <c r="BW477" i="1"/>
  <c r="BJ477" i="1"/>
  <c r="BD477" i="1"/>
  <c r="AP477" i="1"/>
  <c r="AO477" i="1"/>
  <c r="BH477" i="1" s="1"/>
  <c r="AB477" i="1" s="1"/>
  <c r="AK477" i="1"/>
  <c r="AJ477" i="1"/>
  <c r="AH477" i="1"/>
  <c r="AG477" i="1"/>
  <c r="AF477" i="1"/>
  <c r="AE477" i="1"/>
  <c r="AD477" i="1"/>
  <c r="Z477" i="1"/>
  <c r="O477" i="1"/>
  <c r="BF477" i="1" s="1"/>
  <c r="L477" i="1"/>
  <c r="AL477" i="1" s="1"/>
  <c r="BW475" i="1"/>
  <c r="BJ475" i="1"/>
  <c r="BD475" i="1"/>
  <c r="AP475" i="1"/>
  <c r="AO475" i="1"/>
  <c r="BH475" i="1" s="1"/>
  <c r="AB475" i="1" s="1"/>
  <c r="AK475" i="1"/>
  <c r="AJ475" i="1"/>
  <c r="AH475" i="1"/>
  <c r="AG475" i="1"/>
  <c r="AF475" i="1"/>
  <c r="AE475" i="1"/>
  <c r="AD475" i="1"/>
  <c r="Z475" i="1"/>
  <c r="O475" i="1"/>
  <c r="BF475" i="1" s="1"/>
  <c r="L475" i="1"/>
  <c r="AL475" i="1" s="1"/>
  <c r="BW471" i="1"/>
  <c r="BJ471" i="1"/>
  <c r="BD471" i="1"/>
  <c r="AP471" i="1"/>
  <c r="AO471" i="1"/>
  <c r="BH471" i="1" s="1"/>
  <c r="AB471" i="1" s="1"/>
  <c r="AK471" i="1"/>
  <c r="AJ471" i="1"/>
  <c r="AH471" i="1"/>
  <c r="AG471" i="1"/>
  <c r="AF471" i="1"/>
  <c r="AE471" i="1"/>
  <c r="AD471" i="1"/>
  <c r="Z471" i="1"/>
  <c r="O471" i="1"/>
  <c r="BF471" i="1" s="1"/>
  <c r="L471" i="1"/>
  <c r="AL471" i="1" s="1"/>
  <c r="BW469" i="1"/>
  <c r="BJ469" i="1"/>
  <c r="BD469" i="1"/>
  <c r="AP469" i="1"/>
  <c r="AO469" i="1"/>
  <c r="BH469" i="1" s="1"/>
  <c r="AB469" i="1" s="1"/>
  <c r="AK469" i="1"/>
  <c r="AJ469" i="1"/>
  <c r="AH469" i="1"/>
  <c r="AG469" i="1"/>
  <c r="AF469" i="1"/>
  <c r="AE469" i="1"/>
  <c r="AD469" i="1"/>
  <c r="Z469" i="1"/>
  <c r="O469" i="1"/>
  <c r="BF469" i="1" s="1"/>
  <c r="L469" i="1"/>
  <c r="AL469" i="1" s="1"/>
  <c r="BW465" i="1"/>
  <c r="BJ465" i="1"/>
  <c r="BD465" i="1"/>
  <c r="AP465" i="1"/>
  <c r="AO465" i="1"/>
  <c r="BH465" i="1" s="1"/>
  <c r="AB465" i="1" s="1"/>
  <c r="AK465" i="1"/>
  <c r="AJ465" i="1"/>
  <c r="AH465" i="1"/>
  <c r="AG465" i="1"/>
  <c r="AF465" i="1"/>
  <c r="AE465" i="1"/>
  <c r="AD465" i="1"/>
  <c r="Z465" i="1"/>
  <c r="O465" i="1"/>
  <c r="BF465" i="1" s="1"/>
  <c r="L465" i="1"/>
  <c r="AL465" i="1" s="1"/>
  <c r="BW461" i="1"/>
  <c r="BJ461" i="1"/>
  <c r="BD461" i="1"/>
  <c r="AP461" i="1"/>
  <c r="AO461" i="1"/>
  <c r="BH461" i="1" s="1"/>
  <c r="AB461" i="1" s="1"/>
  <c r="AK461" i="1"/>
  <c r="AJ461" i="1"/>
  <c r="AH461" i="1"/>
  <c r="AG461" i="1"/>
  <c r="AF461" i="1"/>
  <c r="AE461" i="1"/>
  <c r="AD461" i="1"/>
  <c r="Z461" i="1"/>
  <c r="O461" i="1"/>
  <c r="BF461" i="1" s="1"/>
  <c r="L461" i="1"/>
  <c r="AL461" i="1" s="1"/>
  <c r="BW459" i="1"/>
  <c r="BJ459" i="1"/>
  <c r="BD459" i="1"/>
  <c r="AP459" i="1"/>
  <c r="AO459" i="1"/>
  <c r="BH459" i="1" s="1"/>
  <c r="AB459" i="1" s="1"/>
  <c r="AK459" i="1"/>
  <c r="AJ459" i="1"/>
  <c r="AH459" i="1"/>
  <c r="AG459" i="1"/>
  <c r="AF459" i="1"/>
  <c r="AE459" i="1"/>
  <c r="AD459" i="1"/>
  <c r="Z459" i="1"/>
  <c r="O459" i="1"/>
  <c r="BF459" i="1" s="1"/>
  <c r="L459" i="1"/>
  <c r="AL459" i="1" s="1"/>
  <c r="BW445" i="1"/>
  <c r="BJ445" i="1"/>
  <c r="BD445" i="1"/>
  <c r="AP445" i="1"/>
  <c r="AO445" i="1"/>
  <c r="BH445" i="1" s="1"/>
  <c r="AF445" i="1" s="1"/>
  <c r="AK445" i="1"/>
  <c r="AJ445" i="1"/>
  <c r="AH445" i="1"/>
  <c r="AE445" i="1"/>
  <c r="AD445" i="1"/>
  <c r="AC445" i="1"/>
  <c r="AB445" i="1"/>
  <c r="Z445" i="1"/>
  <c r="O445" i="1"/>
  <c r="BF445" i="1" s="1"/>
  <c r="L445" i="1"/>
  <c r="AL445" i="1" s="1"/>
  <c r="BW440" i="1"/>
  <c r="BJ440" i="1"/>
  <c r="BD440" i="1"/>
  <c r="AP440" i="1"/>
  <c r="AO440" i="1"/>
  <c r="BH440" i="1" s="1"/>
  <c r="AB440" i="1" s="1"/>
  <c r="AK440" i="1"/>
  <c r="AJ440" i="1"/>
  <c r="AH440" i="1"/>
  <c r="AG440" i="1"/>
  <c r="AF440" i="1"/>
  <c r="AE440" i="1"/>
  <c r="AD440" i="1"/>
  <c r="Z440" i="1"/>
  <c r="O440" i="1"/>
  <c r="BF440" i="1" s="1"/>
  <c r="L440" i="1"/>
  <c r="AL440" i="1" s="1"/>
  <c r="BW438" i="1"/>
  <c r="BJ438" i="1"/>
  <c r="BD438" i="1"/>
  <c r="AP438" i="1"/>
  <c r="AO438" i="1"/>
  <c r="BH438" i="1" s="1"/>
  <c r="AF438" i="1" s="1"/>
  <c r="AK438" i="1"/>
  <c r="AJ438" i="1"/>
  <c r="AH438" i="1"/>
  <c r="AE438" i="1"/>
  <c r="AD438" i="1"/>
  <c r="AC438" i="1"/>
  <c r="AB438" i="1"/>
  <c r="Z438" i="1"/>
  <c r="O438" i="1"/>
  <c r="BF438" i="1" s="1"/>
  <c r="L438" i="1"/>
  <c r="AL438" i="1" s="1"/>
  <c r="BW436" i="1"/>
  <c r="BJ436" i="1"/>
  <c r="BD436" i="1"/>
  <c r="AP436" i="1"/>
  <c r="AO436" i="1"/>
  <c r="BH436" i="1" s="1"/>
  <c r="AB436" i="1" s="1"/>
  <c r="AK436" i="1"/>
  <c r="AJ436" i="1"/>
  <c r="AH436" i="1"/>
  <c r="AG436" i="1"/>
  <c r="AF436" i="1"/>
  <c r="AE436" i="1"/>
  <c r="AD436" i="1"/>
  <c r="Z436" i="1"/>
  <c r="O436" i="1"/>
  <c r="BF436" i="1" s="1"/>
  <c r="L436" i="1"/>
  <c r="AL436" i="1" s="1"/>
  <c r="BW434" i="1"/>
  <c r="BJ434" i="1"/>
  <c r="BD434" i="1"/>
  <c r="AP434" i="1"/>
  <c r="AO434" i="1"/>
  <c r="BH434" i="1" s="1"/>
  <c r="AF434" i="1" s="1"/>
  <c r="AK434" i="1"/>
  <c r="AJ434" i="1"/>
  <c r="AH434" i="1"/>
  <c r="AE434" i="1"/>
  <c r="AD434" i="1"/>
  <c r="AC434" i="1"/>
  <c r="AB434" i="1"/>
  <c r="Z434" i="1"/>
  <c r="O434" i="1"/>
  <c r="BF434" i="1" s="1"/>
  <c r="L434" i="1"/>
  <c r="BW432" i="1"/>
  <c r="AK432" i="1"/>
  <c r="AJ432" i="1"/>
  <c r="AH432" i="1"/>
  <c r="AG432" i="1"/>
  <c r="AF432" i="1"/>
  <c r="AE432" i="1"/>
  <c r="AD432" i="1"/>
  <c r="Z432" i="1"/>
  <c r="O432" i="1"/>
  <c r="BF432" i="1" s="1"/>
  <c r="BW431" i="1"/>
  <c r="AK431" i="1"/>
  <c r="AJ431" i="1"/>
  <c r="AH431" i="1"/>
  <c r="AE431" i="1"/>
  <c r="AD431" i="1"/>
  <c r="AC431" i="1"/>
  <c r="AB431" i="1"/>
  <c r="Z431" i="1"/>
  <c r="O431" i="1"/>
  <c r="BF431" i="1" s="1"/>
  <c r="BW429" i="1"/>
  <c r="BJ429" i="1"/>
  <c r="BD429" i="1"/>
  <c r="AP429" i="1"/>
  <c r="AO429" i="1"/>
  <c r="BH429" i="1" s="1"/>
  <c r="AB429" i="1" s="1"/>
  <c r="AK429" i="1"/>
  <c r="AJ429" i="1"/>
  <c r="AH429" i="1"/>
  <c r="AG429" i="1"/>
  <c r="AF429" i="1"/>
  <c r="AE429" i="1"/>
  <c r="AD429" i="1"/>
  <c r="Z429" i="1"/>
  <c r="O429" i="1"/>
  <c r="BF429" i="1" s="1"/>
  <c r="L429" i="1"/>
  <c r="BW427" i="1"/>
  <c r="BJ427" i="1"/>
  <c r="BD427" i="1"/>
  <c r="AP427" i="1"/>
  <c r="AO427" i="1"/>
  <c r="BH427" i="1" s="1"/>
  <c r="AB427" i="1" s="1"/>
  <c r="AK427" i="1"/>
  <c r="AJ427" i="1"/>
  <c r="AH427" i="1"/>
  <c r="AG427" i="1"/>
  <c r="AF427" i="1"/>
  <c r="AE427" i="1"/>
  <c r="AD427" i="1"/>
  <c r="Z427" i="1"/>
  <c r="O427" i="1"/>
  <c r="BF427" i="1" s="1"/>
  <c r="L427" i="1"/>
  <c r="BW425" i="1"/>
  <c r="BJ425" i="1"/>
  <c r="BD425" i="1"/>
  <c r="AP425" i="1"/>
  <c r="AO425" i="1"/>
  <c r="BH425" i="1" s="1"/>
  <c r="AB425" i="1" s="1"/>
  <c r="AK425" i="1"/>
  <c r="AJ425" i="1"/>
  <c r="AH425" i="1"/>
  <c r="AG425" i="1"/>
  <c r="AF425" i="1"/>
  <c r="AE425" i="1"/>
  <c r="AD425" i="1"/>
  <c r="Z425" i="1"/>
  <c r="O425" i="1"/>
  <c r="BF425" i="1" s="1"/>
  <c r="L425" i="1"/>
  <c r="BW423" i="1"/>
  <c r="BJ423" i="1"/>
  <c r="BD423" i="1"/>
  <c r="AP423" i="1"/>
  <c r="AO423" i="1"/>
  <c r="BH423" i="1" s="1"/>
  <c r="AB423" i="1" s="1"/>
  <c r="AK423" i="1"/>
  <c r="AJ423" i="1"/>
  <c r="AH423" i="1"/>
  <c r="AG423" i="1"/>
  <c r="AF423" i="1"/>
  <c r="AE423" i="1"/>
  <c r="AD423" i="1"/>
  <c r="Z423" i="1"/>
  <c r="O423" i="1"/>
  <c r="BF423" i="1" s="1"/>
  <c r="L423" i="1"/>
  <c r="AL423" i="1" s="1"/>
  <c r="BW421" i="1"/>
  <c r="BJ421" i="1"/>
  <c r="BD421" i="1"/>
  <c r="AP421" i="1"/>
  <c r="K421" i="1" s="1"/>
  <c r="AO421" i="1"/>
  <c r="BH421" i="1" s="1"/>
  <c r="AB421" i="1" s="1"/>
  <c r="AK421" i="1"/>
  <c r="AJ421" i="1"/>
  <c r="AH421" i="1"/>
  <c r="AG421" i="1"/>
  <c r="AF421" i="1"/>
  <c r="AE421" i="1"/>
  <c r="AD421" i="1"/>
  <c r="Z421" i="1"/>
  <c r="O421" i="1"/>
  <c r="BF421" i="1" s="1"/>
  <c r="L421" i="1"/>
  <c r="AL421" i="1" s="1"/>
  <c r="J421" i="1"/>
  <c r="BW419" i="1"/>
  <c r="BJ419" i="1"/>
  <c r="BD419" i="1"/>
  <c r="AP419" i="1"/>
  <c r="AX419" i="1" s="1"/>
  <c r="AO419" i="1"/>
  <c r="BH419" i="1" s="1"/>
  <c r="AB419" i="1" s="1"/>
  <c r="AK419" i="1"/>
  <c r="AJ419" i="1"/>
  <c r="AH419" i="1"/>
  <c r="AG419" i="1"/>
  <c r="AF419" i="1"/>
  <c r="AE419" i="1"/>
  <c r="AD419" i="1"/>
  <c r="Z419" i="1"/>
  <c r="O419" i="1"/>
  <c r="BF419" i="1" s="1"/>
  <c r="L419" i="1"/>
  <c r="AL419" i="1" s="1"/>
  <c r="BW417" i="1"/>
  <c r="BJ417" i="1"/>
  <c r="BD417" i="1"/>
  <c r="AP417" i="1"/>
  <c r="AX417" i="1" s="1"/>
  <c r="AO417" i="1"/>
  <c r="BH417" i="1" s="1"/>
  <c r="AB417" i="1" s="1"/>
  <c r="AK417" i="1"/>
  <c r="AJ417" i="1"/>
  <c r="AH417" i="1"/>
  <c r="AG417" i="1"/>
  <c r="AF417" i="1"/>
  <c r="AE417" i="1"/>
  <c r="AD417" i="1"/>
  <c r="Z417" i="1"/>
  <c r="O417" i="1"/>
  <c r="BF417" i="1" s="1"/>
  <c r="L417" i="1"/>
  <c r="BW415" i="1"/>
  <c r="BJ415" i="1"/>
  <c r="BD415" i="1"/>
  <c r="AP415" i="1"/>
  <c r="AX415" i="1" s="1"/>
  <c r="AO415" i="1"/>
  <c r="BH415" i="1" s="1"/>
  <c r="AB415" i="1" s="1"/>
  <c r="AK415" i="1"/>
  <c r="AJ415" i="1"/>
  <c r="AH415" i="1"/>
  <c r="AG415" i="1"/>
  <c r="AF415" i="1"/>
  <c r="AE415" i="1"/>
  <c r="AD415" i="1"/>
  <c r="Z415" i="1"/>
  <c r="O415" i="1"/>
  <c r="BF415" i="1" s="1"/>
  <c r="L415" i="1"/>
  <c r="AL415" i="1" s="1"/>
  <c r="BW413" i="1"/>
  <c r="BJ413" i="1"/>
  <c r="BD413" i="1"/>
  <c r="AP413" i="1"/>
  <c r="AX413" i="1" s="1"/>
  <c r="AO413" i="1"/>
  <c r="BH413" i="1" s="1"/>
  <c r="AB413" i="1" s="1"/>
  <c r="AK413" i="1"/>
  <c r="AJ413" i="1"/>
  <c r="AH413" i="1"/>
  <c r="AG413" i="1"/>
  <c r="AF413" i="1"/>
  <c r="AE413" i="1"/>
  <c r="AD413" i="1"/>
  <c r="Z413" i="1"/>
  <c r="O413" i="1"/>
  <c r="BF413" i="1" s="1"/>
  <c r="L413" i="1"/>
  <c r="BW411" i="1"/>
  <c r="BJ411" i="1"/>
  <c r="BD411" i="1"/>
  <c r="AP411" i="1"/>
  <c r="AX411" i="1" s="1"/>
  <c r="AO411" i="1"/>
  <c r="BH411" i="1" s="1"/>
  <c r="AB411" i="1" s="1"/>
  <c r="AK411" i="1"/>
  <c r="AJ411" i="1"/>
  <c r="AH411" i="1"/>
  <c r="AG411" i="1"/>
  <c r="AF411" i="1"/>
  <c r="AE411" i="1"/>
  <c r="AD411" i="1"/>
  <c r="Z411" i="1"/>
  <c r="O411" i="1"/>
  <c r="L411" i="1"/>
  <c r="AL411" i="1" s="1"/>
  <c r="BW409" i="1"/>
  <c r="BJ409" i="1"/>
  <c r="BD409" i="1"/>
  <c r="AP409" i="1"/>
  <c r="AX409" i="1" s="1"/>
  <c r="AO409" i="1"/>
  <c r="BH409" i="1" s="1"/>
  <c r="AB409" i="1" s="1"/>
  <c r="AK409" i="1"/>
  <c r="AJ409" i="1"/>
  <c r="AH409" i="1"/>
  <c r="AG409" i="1"/>
  <c r="AF409" i="1"/>
  <c r="AE409" i="1"/>
  <c r="AD409" i="1"/>
  <c r="Z409" i="1"/>
  <c r="O409" i="1"/>
  <c r="BF409" i="1" s="1"/>
  <c r="L409" i="1"/>
  <c r="AL409" i="1" s="1"/>
  <c r="BW397" i="1"/>
  <c r="BJ397" i="1"/>
  <c r="BD397" i="1"/>
  <c r="AP397" i="1"/>
  <c r="AX397" i="1" s="1"/>
  <c r="AO397" i="1"/>
  <c r="BH397" i="1" s="1"/>
  <c r="AF397" i="1" s="1"/>
  <c r="AK397" i="1"/>
  <c r="AJ397" i="1"/>
  <c r="AH397" i="1"/>
  <c r="AE397" i="1"/>
  <c r="AD397" i="1"/>
  <c r="AC397" i="1"/>
  <c r="AB397" i="1"/>
  <c r="Z397" i="1"/>
  <c r="O397" i="1"/>
  <c r="BF397" i="1" s="1"/>
  <c r="L397" i="1"/>
  <c r="AL397" i="1" s="1"/>
  <c r="BW394" i="1"/>
  <c r="BJ394" i="1"/>
  <c r="BD394" i="1"/>
  <c r="AP394" i="1"/>
  <c r="AX394" i="1" s="1"/>
  <c r="AO394" i="1"/>
  <c r="BH394" i="1" s="1"/>
  <c r="AF394" i="1" s="1"/>
  <c r="AK394" i="1"/>
  <c r="AJ394" i="1"/>
  <c r="AH394" i="1"/>
  <c r="AE394" i="1"/>
  <c r="AD394" i="1"/>
  <c r="AC394" i="1"/>
  <c r="AB394" i="1"/>
  <c r="Z394" i="1"/>
  <c r="O394" i="1"/>
  <c r="BF394" i="1" s="1"/>
  <c r="L394" i="1"/>
  <c r="K394" i="1"/>
  <c r="BW393" i="1"/>
  <c r="BJ393" i="1"/>
  <c r="BD393" i="1"/>
  <c r="AP393" i="1"/>
  <c r="AX393" i="1" s="1"/>
  <c r="AO393" i="1"/>
  <c r="BH393" i="1" s="1"/>
  <c r="AB393" i="1" s="1"/>
  <c r="AK393" i="1"/>
  <c r="AJ393" i="1"/>
  <c r="AH393" i="1"/>
  <c r="AG393" i="1"/>
  <c r="AF393" i="1"/>
  <c r="AE393" i="1"/>
  <c r="AD393" i="1"/>
  <c r="Z393" i="1"/>
  <c r="O393" i="1"/>
  <c r="BF393" i="1" s="1"/>
  <c r="L393" i="1"/>
  <c r="AL393" i="1" s="1"/>
  <c r="BW391" i="1"/>
  <c r="BJ391" i="1"/>
  <c r="BD391" i="1"/>
  <c r="AP391" i="1"/>
  <c r="AX391" i="1" s="1"/>
  <c r="AO391" i="1"/>
  <c r="BH391" i="1" s="1"/>
  <c r="AB391" i="1" s="1"/>
  <c r="AK391" i="1"/>
  <c r="AJ391" i="1"/>
  <c r="AH391" i="1"/>
  <c r="AG391" i="1"/>
  <c r="AF391" i="1"/>
  <c r="AE391" i="1"/>
  <c r="AD391" i="1"/>
  <c r="Z391" i="1"/>
  <c r="O391" i="1"/>
  <c r="BF391" i="1" s="1"/>
  <c r="L391" i="1"/>
  <c r="BW389" i="1"/>
  <c r="BJ389" i="1"/>
  <c r="BD389" i="1"/>
  <c r="AP389" i="1"/>
  <c r="AX389" i="1" s="1"/>
  <c r="AO389" i="1"/>
  <c r="BH389" i="1" s="1"/>
  <c r="AF389" i="1" s="1"/>
  <c r="AK389" i="1"/>
  <c r="AJ389" i="1"/>
  <c r="AH389" i="1"/>
  <c r="AE389" i="1"/>
  <c r="AD389" i="1"/>
  <c r="AC389" i="1"/>
  <c r="AB389" i="1"/>
  <c r="Z389" i="1"/>
  <c r="O389" i="1"/>
  <c r="BF389" i="1" s="1"/>
  <c r="L389" i="1"/>
  <c r="AL389" i="1" s="1"/>
  <c r="BW387" i="1"/>
  <c r="BJ387" i="1"/>
  <c r="BD387" i="1"/>
  <c r="AP387" i="1"/>
  <c r="AX387" i="1" s="1"/>
  <c r="AO387" i="1"/>
  <c r="BH387" i="1" s="1"/>
  <c r="AB387" i="1" s="1"/>
  <c r="AK387" i="1"/>
  <c r="AJ387" i="1"/>
  <c r="AH387" i="1"/>
  <c r="AG387" i="1"/>
  <c r="AF387" i="1"/>
  <c r="AE387" i="1"/>
  <c r="AD387" i="1"/>
  <c r="Z387" i="1"/>
  <c r="O387" i="1"/>
  <c r="BF387" i="1" s="1"/>
  <c r="L387" i="1"/>
  <c r="BW378" i="1"/>
  <c r="BJ378" i="1"/>
  <c r="BD378" i="1"/>
  <c r="AP378" i="1"/>
  <c r="AX378" i="1" s="1"/>
  <c r="AO378" i="1"/>
  <c r="BH378" i="1" s="1"/>
  <c r="AB378" i="1" s="1"/>
  <c r="AK378" i="1"/>
  <c r="AJ378" i="1"/>
  <c r="AH378" i="1"/>
  <c r="AG378" i="1"/>
  <c r="AF378" i="1"/>
  <c r="AE378" i="1"/>
  <c r="AD378" i="1"/>
  <c r="Z378" i="1"/>
  <c r="O378" i="1"/>
  <c r="BF378" i="1" s="1"/>
  <c r="L378" i="1"/>
  <c r="AL378" i="1" s="1"/>
  <c r="BW373" i="1"/>
  <c r="BJ373" i="1"/>
  <c r="BD373" i="1"/>
  <c r="AP373" i="1"/>
  <c r="AX373" i="1" s="1"/>
  <c r="AO373" i="1"/>
  <c r="BH373" i="1" s="1"/>
  <c r="AF373" i="1" s="1"/>
  <c r="AK373" i="1"/>
  <c r="AJ373" i="1"/>
  <c r="AH373" i="1"/>
  <c r="AE373" i="1"/>
  <c r="AD373" i="1"/>
  <c r="AC373" i="1"/>
  <c r="AB373" i="1"/>
  <c r="Z373" i="1"/>
  <c r="O373" i="1"/>
  <c r="BF373" i="1" s="1"/>
  <c r="L373" i="1"/>
  <c r="BW371" i="1"/>
  <c r="BJ371" i="1"/>
  <c r="BD371" i="1"/>
  <c r="AP371" i="1"/>
  <c r="AX371" i="1" s="1"/>
  <c r="AO371" i="1"/>
  <c r="BH371" i="1" s="1"/>
  <c r="AB371" i="1" s="1"/>
  <c r="AK371" i="1"/>
  <c r="AJ371" i="1"/>
  <c r="AH371" i="1"/>
  <c r="AG371" i="1"/>
  <c r="AF371" i="1"/>
  <c r="AE371" i="1"/>
  <c r="AD371" i="1"/>
  <c r="Z371" i="1"/>
  <c r="O371" i="1"/>
  <c r="BF371" i="1" s="1"/>
  <c r="L371" i="1"/>
  <c r="AL371" i="1" s="1"/>
  <c r="BW370" i="1"/>
  <c r="BJ370" i="1"/>
  <c r="BD370" i="1"/>
  <c r="AP370" i="1"/>
  <c r="AX370" i="1" s="1"/>
  <c r="AO370" i="1"/>
  <c r="BH370" i="1" s="1"/>
  <c r="AB370" i="1" s="1"/>
  <c r="AK370" i="1"/>
  <c r="AJ370" i="1"/>
  <c r="AH370" i="1"/>
  <c r="AG370" i="1"/>
  <c r="AF370" i="1"/>
  <c r="AE370" i="1"/>
  <c r="AD370" i="1"/>
  <c r="Z370" i="1"/>
  <c r="O370" i="1"/>
  <c r="BF370" i="1" s="1"/>
  <c r="L370" i="1"/>
  <c r="BW369" i="1"/>
  <c r="BJ369" i="1"/>
  <c r="BD369" i="1"/>
  <c r="AP369" i="1"/>
  <c r="AX369" i="1" s="1"/>
  <c r="AO369" i="1"/>
  <c r="BH369" i="1" s="1"/>
  <c r="AB369" i="1" s="1"/>
  <c r="AK369" i="1"/>
  <c r="AJ369" i="1"/>
  <c r="AH369" i="1"/>
  <c r="AG369" i="1"/>
  <c r="AF369" i="1"/>
  <c r="AE369" i="1"/>
  <c r="AD369" i="1"/>
  <c r="Z369" i="1"/>
  <c r="O369" i="1"/>
  <c r="BF369" i="1" s="1"/>
  <c r="L369" i="1"/>
  <c r="AL369" i="1" s="1"/>
  <c r="BW368" i="1"/>
  <c r="BJ368" i="1"/>
  <c r="BD368" i="1"/>
  <c r="AP368" i="1"/>
  <c r="AX368" i="1" s="1"/>
  <c r="AO368" i="1"/>
  <c r="BH368" i="1" s="1"/>
  <c r="AB368" i="1" s="1"/>
  <c r="AK368" i="1"/>
  <c r="AJ368" i="1"/>
  <c r="AH368" i="1"/>
  <c r="AG368" i="1"/>
  <c r="AF368" i="1"/>
  <c r="AE368" i="1"/>
  <c r="AD368" i="1"/>
  <c r="Z368" i="1"/>
  <c r="O368" i="1"/>
  <c r="BF368" i="1" s="1"/>
  <c r="L368" i="1"/>
  <c r="BW365" i="1"/>
  <c r="BJ365" i="1"/>
  <c r="BD365" i="1"/>
  <c r="AP365" i="1"/>
  <c r="AX365" i="1" s="1"/>
  <c r="AO365" i="1"/>
  <c r="BH365" i="1" s="1"/>
  <c r="AF365" i="1" s="1"/>
  <c r="AK365" i="1"/>
  <c r="AJ365" i="1"/>
  <c r="AH365" i="1"/>
  <c r="AE365" i="1"/>
  <c r="AD365" i="1"/>
  <c r="AC365" i="1"/>
  <c r="AB365" i="1"/>
  <c r="Z365" i="1"/>
  <c r="O365" i="1"/>
  <c r="BF365" i="1" s="1"/>
  <c r="L365" i="1"/>
  <c r="AL365" i="1" s="1"/>
  <c r="BW363" i="1"/>
  <c r="BJ363" i="1"/>
  <c r="BD363" i="1"/>
  <c r="AP363" i="1"/>
  <c r="AX363" i="1" s="1"/>
  <c r="AO363" i="1"/>
  <c r="BH363" i="1" s="1"/>
  <c r="AB363" i="1" s="1"/>
  <c r="AK363" i="1"/>
  <c r="AJ363" i="1"/>
  <c r="AH363" i="1"/>
  <c r="AG363" i="1"/>
  <c r="AF363" i="1"/>
  <c r="AE363" i="1"/>
  <c r="AD363" i="1"/>
  <c r="Z363" i="1"/>
  <c r="O363" i="1"/>
  <c r="BF363" i="1" s="1"/>
  <c r="L363" i="1"/>
  <c r="BW361" i="1"/>
  <c r="BJ361" i="1"/>
  <c r="BD361" i="1"/>
  <c r="AP361" i="1"/>
  <c r="AX361" i="1" s="1"/>
  <c r="AO361" i="1"/>
  <c r="BH361" i="1" s="1"/>
  <c r="AB361" i="1" s="1"/>
  <c r="AK361" i="1"/>
  <c r="AJ361" i="1"/>
  <c r="AH361" i="1"/>
  <c r="AG361" i="1"/>
  <c r="AF361" i="1"/>
  <c r="AE361" i="1"/>
  <c r="AD361" i="1"/>
  <c r="Z361" i="1"/>
  <c r="O361" i="1"/>
  <c r="BF361" i="1" s="1"/>
  <c r="L361" i="1"/>
  <c r="AL361" i="1" s="1"/>
  <c r="BW357" i="1"/>
  <c r="BJ357" i="1"/>
  <c r="BD357" i="1"/>
  <c r="AP357" i="1"/>
  <c r="AX357" i="1" s="1"/>
  <c r="AO357" i="1"/>
  <c r="BH357" i="1" s="1"/>
  <c r="AF357" i="1" s="1"/>
  <c r="AK357" i="1"/>
  <c r="AJ357" i="1"/>
  <c r="AH357" i="1"/>
  <c r="AE357" i="1"/>
  <c r="AD357" i="1"/>
  <c r="AC357" i="1"/>
  <c r="AB357" i="1"/>
  <c r="Z357" i="1"/>
  <c r="O357" i="1"/>
  <c r="BF357" i="1" s="1"/>
  <c r="L357" i="1"/>
  <c r="AL357" i="1" s="1"/>
  <c r="BW355" i="1"/>
  <c r="BJ355" i="1"/>
  <c r="BD355" i="1"/>
  <c r="AP355" i="1"/>
  <c r="AX355" i="1" s="1"/>
  <c r="AO355" i="1"/>
  <c r="BH355" i="1" s="1"/>
  <c r="AB355" i="1" s="1"/>
  <c r="AK355" i="1"/>
  <c r="AJ355" i="1"/>
  <c r="AH355" i="1"/>
  <c r="AG355" i="1"/>
  <c r="AF355" i="1"/>
  <c r="AE355" i="1"/>
  <c r="AD355" i="1"/>
  <c r="Z355" i="1"/>
  <c r="O355" i="1"/>
  <c r="BF355" i="1" s="1"/>
  <c r="L355" i="1"/>
  <c r="AL355" i="1" s="1"/>
  <c r="BW353" i="1"/>
  <c r="BJ353" i="1"/>
  <c r="BD353" i="1"/>
  <c r="AP353" i="1"/>
  <c r="AX353" i="1" s="1"/>
  <c r="AO353" i="1"/>
  <c r="BH353" i="1" s="1"/>
  <c r="AB353" i="1" s="1"/>
  <c r="AK353" i="1"/>
  <c r="AJ353" i="1"/>
  <c r="AH353" i="1"/>
  <c r="AG353" i="1"/>
  <c r="AF353" i="1"/>
  <c r="AE353" i="1"/>
  <c r="AD353" i="1"/>
  <c r="Z353" i="1"/>
  <c r="O353" i="1"/>
  <c r="BF353" i="1" s="1"/>
  <c r="L353" i="1"/>
  <c r="K353" i="1"/>
  <c r="BW351" i="1"/>
  <c r="BJ351" i="1"/>
  <c r="BD351" i="1"/>
  <c r="AP351" i="1"/>
  <c r="AX351" i="1" s="1"/>
  <c r="AO351" i="1"/>
  <c r="BH351" i="1" s="1"/>
  <c r="AB351" i="1" s="1"/>
  <c r="AK351" i="1"/>
  <c r="AJ351" i="1"/>
  <c r="AH351" i="1"/>
  <c r="AG351" i="1"/>
  <c r="AF351" i="1"/>
  <c r="AE351" i="1"/>
  <c r="AD351" i="1"/>
  <c r="Z351" i="1"/>
  <c r="O351" i="1"/>
  <c r="BF351" i="1" s="1"/>
  <c r="L351" i="1"/>
  <c r="AL351" i="1" s="1"/>
  <c r="BW349" i="1"/>
  <c r="BJ349" i="1"/>
  <c r="BD349" i="1"/>
  <c r="AP349" i="1"/>
  <c r="AX349" i="1" s="1"/>
  <c r="AO349" i="1"/>
  <c r="BH349" i="1" s="1"/>
  <c r="AB349" i="1" s="1"/>
  <c r="AK349" i="1"/>
  <c r="AJ349" i="1"/>
  <c r="AH349" i="1"/>
  <c r="AG349" i="1"/>
  <c r="AF349" i="1"/>
  <c r="AE349" i="1"/>
  <c r="AD349" i="1"/>
  <c r="Z349" i="1"/>
  <c r="O349" i="1"/>
  <c r="BF349" i="1" s="1"/>
  <c r="L349" i="1"/>
  <c r="AL349" i="1" s="1"/>
  <c r="BW343" i="1"/>
  <c r="BJ343" i="1"/>
  <c r="BD343" i="1"/>
  <c r="AP343" i="1"/>
  <c r="AX343" i="1" s="1"/>
  <c r="AO343" i="1"/>
  <c r="BH343" i="1" s="1"/>
  <c r="AF343" i="1" s="1"/>
  <c r="AK343" i="1"/>
  <c r="AJ343" i="1"/>
  <c r="AH343" i="1"/>
  <c r="AE343" i="1"/>
  <c r="AD343" i="1"/>
  <c r="AC343" i="1"/>
  <c r="AB343" i="1"/>
  <c r="Z343" i="1"/>
  <c r="O343" i="1"/>
  <c r="BF343" i="1" s="1"/>
  <c r="L343" i="1"/>
  <c r="AL343" i="1" s="1"/>
  <c r="BW342" i="1"/>
  <c r="BJ342" i="1"/>
  <c r="BD342" i="1"/>
  <c r="AP342" i="1"/>
  <c r="AX342" i="1" s="1"/>
  <c r="AO342" i="1"/>
  <c r="BH342" i="1" s="1"/>
  <c r="AF342" i="1" s="1"/>
  <c r="AK342" i="1"/>
  <c r="AJ342" i="1"/>
  <c r="AH342" i="1"/>
  <c r="AE342" i="1"/>
  <c r="AD342" i="1"/>
  <c r="AC342" i="1"/>
  <c r="AB342" i="1"/>
  <c r="Z342" i="1"/>
  <c r="O342" i="1"/>
  <c r="BF342" i="1" s="1"/>
  <c r="L342" i="1"/>
  <c r="AL342" i="1" s="1"/>
  <c r="K342" i="1"/>
  <c r="BW339" i="1"/>
  <c r="BJ339" i="1"/>
  <c r="BD339" i="1"/>
  <c r="AP339" i="1"/>
  <c r="AX339" i="1" s="1"/>
  <c r="AO339" i="1"/>
  <c r="BH339" i="1" s="1"/>
  <c r="AF339" i="1" s="1"/>
  <c r="AK339" i="1"/>
  <c r="AJ339" i="1"/>
  <c r="AH339" i="1"/>
  <c r="AE339" i="1"/>
  <c r="AD339" i="1"/>
  <c r="AC339" i="1"/>
  <c r="AB339" i="1"/>
  <c r="Z339" i="1"/>
  <c r="O339" i="1"/>
  <c r="BF339" i="1" s="1"/>
  <c r="L339" i="1"/>
  <c r="AL339" i="1" s="1"/>
  <c r="BW338" i="1"/>
  <c r="BJ338" i="1"/>
  <c r="BD338" i="1"/>
  <c r="AP338" i="1"/>
  <c r="AX338" i="1" s="1"/>
  <c r="AO338" i="1"/>
  <c r="BH338" i="1" s="1"/>
  <c r="AF338" i="1" s="1"/>
  <c r="AK338" i="1"/>
  <c r="AJ338" i="1"/>
  <c r="AH338" i="1"/>
  <c r="AE338" i="1"/>
  <c r="AD338" i="1"/>
  <c r="AC338" i="1"/>
  <c r="AB338" i="1"/>
  <c r="Z338" i="1"/>
  <c r="O338" i="1"/>
  <c r="BF338" i="1" s="1"/>
  <c r="L338" i="1"/>
  <c r="AL338" i="1" s="1"/>
  <c r="BW336" i="1"/>
  <c r="BJ336" i="1"/>
  <c r="BD336" i="1"/>
  <c r="AP336" i="1"/>
  <c r="AX336" i="1" s="1"/>
  <c r="AO336" i="1"/>
  <c r="BH336" i="1" s="1"/>
  <c r="AF336" i="1" s="1"/>
  <c r="AK336" i="1"/>
  <c r="AJ336" i="1"/>
  <c r="AH336" i="1"/>
  <c r="AE336" i="1"/>
  <c r="AD336" i="1"/>
  <c r="AC336" i="1"/>
  <c r="AB336" i="1"/>
  <c r="Z336" i="1"/>
  <c r="O336" i="1"/>
  <c r="BF336" i="1" s="1"/>
  <c r="L336" i="1"/>
  <c r="AL336" i="1" s="1"/>
  <c r="BW334" i="1"/>
  <c r="BJ334" i="1"/>
  <c r="BD334" i="1"/>
  <c r="AP334" i="1"/>
  <c r="AX334" i="1" s="1"/>
  <c r="AO334" i="1"/>
  <c r="BH334" i="1" s="1"/>
  <c r="AF334" i="1" s="1"/>
  <c r="AK334" i="1"/>
  <c r="AJ334" i="1"/>
  <c r="AH334" i="1"/>
  <c r="AE334" i="1"/>
  <c r="AD334" i="1"/>
  <c r="AC334" i="1"/>
  <c r="AB334" i="1"/>
  <c r="Z334" i="1"/>
  <c r="O334" i="1"/>
  <c r="BF334" i="1" s="1"/>
  <c r="L334" i="1"/>
  <c r="AL334" i="1" s="1"/>
  <c r="BW332" i="1"/>
  <c r="BJ332" i="1"/>
  <c r="BD332" i="1"/>
  <c r="AP332" i="1"/>
  <c r="AX332" i="1" s="1"/>
  <c r="AO332" i="1"/>
  <c r="BH332" i="1" s="1"/>
  <c r="AF332" i="1" s="1"/>
  <c r="AK332" i="1"/>
  <c r="AJ332" i="1"/>
  <c r="AH332" i="1"/>
  <c r="AE332" i="1"/>
  <c r="AD332" i="1"/>
  <c r="AC332" i="1"/>
  <c r="AB332" i="1"/>
  <c r="Z332" i="1"/>
  <c r="O332" i="1"/>
  <c r="BF332" i="1" s="1"/>
  <c r="L332" i="1"/>
  <c r="AL332" i="1" s="1"/>
  <c r="BW330" i="1"/>
  <c r="BJ330" i="1"/>
  <c r="BD330" i="1"/>
  <c r="AP330" i="1"/>
  <c r="AX330" i="1" s="1"/>
  <c r="AO330" i="1"/>
  <c r="BH330" i="1" s="1"/>
  <c r="AF330" i="1" s="1"/>
  <c r="AK330" i="1"/>
  <c r="AJ330" i="1"/>
  <c r="AH330" i="1"/>
  <c r="AE330" i="1"/>
  <c r="AD330" i="1"/>
  <c r="AC330" i="1"/>
  <c r="AB330" i="1"/>
  <c r="Z330" i="1"/>
  <c r="O330" i="1"/>
  <c r="BF330" i="1" s="1"/>
  <c r="L330" i="1"/>
  <c r="AL330" i="1" s="1"/>
  <c r="BW327" i="1"/>
  <c r="BJ327" i="1"/>
  <c r="BD327" i="1"/>
  <c r="AP327" i="1"/>
  <c r="AX327" i="1" s="1"/>
  <c r="AO327" i="1"/>
  <c r="BH327" i="1" s="1"/>
  <c r="AF327" i="1" s="1"/>
  <c r="AK327" i="1"/>
  <c r="AJ327" i="1"/>
  <c r="AH327" i="1"/>
  <c r="AE327" i="1"/>
  <c r="AD327" i="1"/>
  <c r="AC327" i="1"/>
  <c r="AB327" i="1"/>
  <c r="Z327" i="1"/>
  <c r="O327" i="1"/>
  <c r="BF327" i="1" s="1"/>
  <c r="L327" i="1"/>
  <c r="AL327" i="1" s="1"/>
  <c r="BW325" i="1"/>
  <c r="BJ325" i="1"/>
  <c r="BD325" i="1"/>
  <c r="AP325" i="1"/>
  <c r="AX325" i="1" s="1"/>
  <c r="AO325" i="1"/>
  <c r="BH325" i="1" s="1"/>
  <c r="AF325" i="1" s="1"/>
  <c r="AK325" i="1"/>
  <c r="AJ325" i="1"/>
  <c r="AH325" i="1"/>
  <c r="AE325" i="1"/>
  <c r="AD325" i="1"/>
  <c r="AC325" i="1"/>
  <c r="AB325" i="1"/>
  <c r="Z325" i="1"/>
  <c r="O325" i="1"/>
  <c r="BF325" i="1" s="1"/>
  <c r="L325" i="1"/>
  <c r="AL325" i="1" s="1"/>
  <c r="BW323" i="1"/>
  <c r="BJ323" i="1"/>
  <c r="BD323" i="1"/>
  <c r="AP323" i="1"/>
  <c r="AX323" i="1" s="1"/>
  <c r="AO323" i="1"/>
  <c r="BH323" i="1" s="1"/>
  <c r="AF323" i="1" s="1"/>
  <c r="AK323" i="1"/>
  <c r="AJ323" i="1"/>
  <c r="AH323" i="1"/>
  <c r="AE323" i="1"/>
  <c r="AD323" i="1"/>
  <c r="AC323" i="1"/>
  <c r="AB323" i="1"/>
  <c r="Z323" i="1"/>
  <c r="O323" i="1"/>
  <c r="BF323" i="1" s="1"/>
  <c r="L323" i="1"/>
  <c r="AL323" i="1" s="1"/>
  <c r="BW322" i="1"/>
  <c r="BJ322" i="1"/>
  <c r="BD322" i="1"/>
  <c r="AP322" i="1"/>
  <c r="AX322" i="1" s="1"/>
  <c r="AO322" i="1"/>
  <c r="BH322" i="1" s="1"/>
  <c r="AF322" i="1" s="1"/>
  <c r="AK322" i="1"/>
  <c r="AJ322" i="1"/>
  <c r="AH322" i="1"/>
  <c r="AE322" i="1"/>
  <c r="AD322" i="1"/>
  <c r="AC322" i="1"/>
  <c r="AB322" i="1"/>
  <c r="Z322" i="1"/>
  <c r="O322" i="1"/>
  <c r="BF322" i="1" s="1"/>
  <c r="L322" i="1"/>
  <c r="AL322" i="1" s="1"/>
  <c r="K322" i="1"/>
  <c r="BW320" i="1"/>
  <c r="BJ320" i="1"/>
  <c r="BD320" i="1"/>
  <c r="AP320" i="1"/>
  <c r="AX320" i="1" s="1"/>
  <c r="AO320" i="1"/>
  <c r="BH320" i="1" s="1"/>
  <c r="AF320" i="1" s="1"/>
  <c r="AK320" i="1"/>
  <c r="AJ320" i="1"/>
  <c r="AH320" i="1"/>
  <c r="AE320" i="1"/>
  <c r="AD320" i="1"/>
  <c r="AC320" i="1"/>
  <c r="AB320" i="1"/>
  <c r="Z320" i="1"/>
  <c r="O320" i="1"/>
  <c r="BF320" i="1" s="1"/>
  <c r="L320" i="1"/>
  <c r="AL320" i="1" s="1"/>
  <c r="BW318" i="1"/>
  <c r="BJ318" i="1"/>
  <c r="BD318" i="1"/>
  <c r="AP318" i="1"/>
  <c r="AX318" i="1" s="1"/>
  <c r="AO318" i="1"/>
  <c r="BH318" i="1" s="1"/>
  <c r="AF318" i="1" s="1"/>
  <c r="AK318" i="1"/>
  <c r="AJ318" i="1"/>
  <c r="AH318" i="1"/>
  <c r="AE318" i="1"/>
  <c r="AD318" i="1"/>
  <c r="AC318" i="1"/>
  <c r="AB318" i="1"/>
  <c r="Z318" i="1"/>
  <c r="O318" i="1"/>
  <c r="BF318" i="1" s="1"/>
  <c r="L318" i="1"/>
  <c r="AL318" i="1" s="1"/>
  <c r="BW316" i="1"/>
  <c r="BJ316" i="1"/>
  <c r="BD316" i="1"/>
  <c r="AP316" i="1"/>
  <c r="AX316" i="1" s="1"/>
  <c r="AO316" i="1"/>
  <c r="BH316" i="1" s="1"/>
  <c r="AF316" i="1" s="1"/>
  <c r="AK316" i="1"/>
  <c r="AJ316" i="1"/>
  <c r="AH316" i="1"/>
  <c r="AE316" i="1"/>
  <c r="AD316" i="1"/>
  <c r="AC316" i="1"/>
  <c r="AB316" i="1"/>
  <c r="Z316" i="1"/>
  <c r="O316" i="1"/>
  <c r="BF316" i="1" s="1"/>
  <c r="L316" i="1"/>
  <c r="AL316" i="1" s="1"/>
  <c r="K316" i="1"/>
  <c r="BW314" i="1"/>
  <c r="BJ314" i="1"/>
  <c r="BD314" i="1"/>
  <c r="AP314" i="1"/>
  <c r="AX314" i="1" s="1"/>
  <c r="AO314" i="1"/>
  <c r="BH314" i="1" s="1"/>
  <c r="AF314" i="1" s="1"/>
  <c r="AK314" i="1"/>
  <c r="AJ314" i="1"/>
  <c r="AH314" i="1"/>
  <c r="AE314" i="1"/>
  <c r="AD314" i="1"/>
  <c r="AC314" i="1"/>
  <c r="AB314" i="1"/>
  <c r="Z314" i="1"/>
  <c r="O314" i="1"/>
  <c r="BF314" i="1" s="1"/>
  <c r="L314" i="1"/>
  <c r="AL314" i="1" s="1"/>
  <c r="BW312" i="1"/>
  <c r="BJ312" i="1"/>
  <c r="BD312" i="1"/>
  <c r="AP312" i="1"/>
  <c r="AX312" i="1" s="1"/>
  <c r="AO312" i="1"/>
  <c r="BH312" i="1" s="1"/>
  <c r="AF312" i="1" s="1"/>
  <c r="AK312" i="1"/>
  <c r="AJ312" i="1"/>
  <c r="AH312" i="1"/>
  <c r="AE312" i="1"/>
  <c r="AD312" i="1"/>
  <c r="AC312" i="1"/>
  <c r="AB312" i="1"/>
  <c r="Z312" i="1"/>
  <c r="O312" i="1"/>
  <c r="BF312" i="1" s="1"/>
  <c r="L312" i="1"/>
  <c r="AL312" i="1" s="1"/>
  <c r="BW310" i="1"/>
  <c r="BJ310" i="1"/>
  <c r="BD310" i="1"/>
  <c r="AP310" i="1"/>
  <c r="AX310" i="1" s="1"/>
  <c r="AO310" i="1"/>
  <c r="BH310" i="1" s="1"/>
  <c r="AB310" i="1" s="1"/>
  <c r="AK310" i="1"/>
  <c r="AJ310" i="1"/>
  <c r="AH310" i="1"/>
  <c r="AG310" i="1"/>
  <c r="AF310" i="1"/>
  <c r="AE310" i="1"/>
  <c r="AD310" i="1"/>
  <c r="Z310" i="1"/>
  <c r="O310" i="1"/>
  <c r="BF310" i="1" s="1"/>
  <c r="L310" i="1"/>
  <c r="AL310" i="1" s="1"/>
  <c r="BW308" i="1"/>
  <c r="BJ308" i="1"/>
  <c r="BD308" i="1"/>
  <c r="AP308" i="1"/>
  <c r="AX308" i="1" s="1"/>
  <c r="AO308" i="1"/>
  <c r="BH308" i="1" s="1"/>
  <c r="AF308" i="1" s="1"/>
  <c r="AK308" i="1"/>
  <c r="AJ308" i="1"/>
  <c r="AH308" i="1"/>
  <c r="AE308" i="1"/>
  <c r="AD308" i="1"/>
  <c r="AC308" i="1"/>
  <c r="AB308" i="1"/>
  <c r="Z308" i="1"/>
  <c r="O308" i="1"/>
  <c r="BF308" i="1" s="1"/>
  <c r="L308" i="1"/>
  <c r="AL308" i="1" s="1"/>
  <c r="BW306" i="1"/>
  <c r="BJ306" i="1"/>
  <c r="BD306" i="1"/>
  <c r="AP306" i="1"/>
  <c r="AX306" i="1" s="1"/>
  <c r="AO306" i="1"/>
  <c r="BH306" i="1" s="1"/>
  <c r="AB306" i="1" s="1"/>
  <c r="AK306" i="1"/>
  <c r="AJ306" i="1"/>
  <c r="AH306" i="1"/>
  <c r="AG306" i="1"/>
  <c r="AF306" i="1"/>
  <c r="AE306" i="1"/>
  <c r="AD306" i="1"/>
  <c r="Z306" i="1"/>
  <c r="O306" i="1"/>
  <c r="BF306" i="1" s="1"/>
  <c r="L306" i="1"/>
  <c r="AL306" i="1" s="1"/>
  <c r="BW304" i="1"/>
  <c r="BJ304" i="1"/>
  <c r="BD304" i="1"/>
  <c r="AP304" i="1"/>
  <c r="AX304" i="1" s="1"/>
  <c r="AO304" i="1"/>
  <c r="BH304" i="1" s="1"/>
  <c r="AF304" i="1" s="1"/>
  <c r="AK304" i="1"/>
  <c r="AJ304" i="1"/>
  <c r="AH304" i="1"/>
  <c r="AE304" i="1"/>
  <c r="AD304" i="1"/>
  <c r="AC304" i="1"/>
  <c r="AB304" i="1"/>
  <c r="Z304" i="1"/>
  <c r="O304" i="1"/>
  <c r="BF304" i="1" s="1"/>
  <c r="L304" i="1"/>
  <c r="K304" i="1"/>
  <c r="BW300" i="1"/>
  <c r="BD300" i="1"/>
  <c r="AP300" i="1"/>
  <c r="AO300" i="1"/>
  <c r="AK300" i="1"/>
  <c r="AT299" i="1" s="1"/>
  <c r="AJ300" i="1"/>
  <c r="AS299" i="1" s="1"/>
  <c r="AH300" i="1"/>
  <c r="AG300" i="1"/>
  <c r="AF300" i="1"/>
  <c r="AE300" i="1"/>
  <c r="AD300" i="1"/>
  <c r="AC300" i="1"/>
  <c r="AB300" i="1"/>
  <c r="BW298" i="1"/>
  <c r="BD298" i="1"/>
  <c r="AP298" i="1"/>
  <c r="AO298" i="1"/>
  <c r="AK298" i="1"/>
  <c r="AJ298" i="1"/>
  <c r="AH298" i="1"/>
  <c r="AG298" i="1"/>
  <c r="AF298" i="1"/>
  <c r="AE298" i="1"/>
  <c r="AD298" i="1"/>
  <c r="AC298" i="1"/>
  <c r="AB298" i="1"/>
  <c r="BW296" i="1"/>
  <c r="BD296" i="1"/>
  <c r="AP296" i="1"/>
  <c r="AO296" i="1"/>
  <c r="AK296" i="1"/>
  <c r="AJ296" i="1"/>
  <c r="AH296" i="1"/>
  <c r="AG296" i="1"/>
  <c r="AF296" i="1"/>
  <c r="AE296" i="1"/>
  <c r="AD296" i="1"/>
  <c r="AC296" i="1"/>
  <c r="AB296" i="1"/>
  <c r="BW294" i="1"/>
  <c r="BD294" i="1"/>
  <c r="AP294" i="1"/>
  <c r="AO294" i="1"/>
  <c r="AK294" i="1"/>
  <c r="AJ294" i="1"/>
  <c r="AH294" i="1"/>
  <c r="AG294" i="1"/>
  <c r="AF294" i="1"/>
  <c r="AE294" i="1"/>
  <c r="AD294" i="1"/>
  <c r="AC294" i="1"/>
  <c r="AB294" i="1"/>
  <c r="BW292" i="1"/>
  <c r="BD292" i="1"/>
  <c r="AP292" i="1"/>
  <c r="AO292" i="1"/>
  <c r="AK292" i="1"/>
  <c r="AJ292" i="1"/>
  <c r="AH292" i="1"/>
  <c r="AG292" i="1"/>
  <c r="AF292" i="1"/>
  <c r="AE292" i="1"/>
  <c r="AD292" i="1"/>
  <c r="AC292" i="1"/>
  <c r="AB292" i="1"/>
  <c r="BW283" i="1"/>
  <c r="BD283" i="1"/>
  <c r="AP283" i="1"/>
  <c r="AO283" i="1"/>
  <c r="AK283" i="1"/>
  <c r="AJ283" i="1"/>
  <c r="AH283" i="1"/>
  <c r="AG283" i="1"/>
  <c r="AF283" i="1"/>
  <c r="AE283" i="1"/>
  <c r="AD283" i="1"/>
  <c r="AC283" i="1"/>
  <c r="AB283" i="1"/>
  <c r="BW274" i="1"/>
  <c r="BD274" i="1"/>
  <c r="AP274" i="1"/>
  <c r="AO274" i="1"/>
  <c r="AK274" i="1"/>
  <c r="AJ274" i="1"/>
  <c r="AH274" i="1"/>
  <c r="AG274" i="1"/>
  <c r="AF274" i="1"/>
  <c r="AE274" i="1"/>
  <c r="AD274" i="1"/>
  <c r="AC274" i="1"/>
  <c r="AB274" i="1"/>
  <c r="BW266" i="1"/>
  <c r="BD266" i="1"/>
  <c r="AP266" i="1"/>
  <c r="AO266" i="1"/>
  <c r="AK266" i="1"/>
  <c r="AJ266" i="1"/>
  <c r="AH266" i="1"/>
  <c r="AG266" i="1"/>
  <c r="AF266" i="1"/>
  <c r="AE266" i="1"/>
  <c r="AD266" i="1"/>
  <c r="AC266" i="1"/>
  <c r="AB266" i="1"/>
  <c r="BW257" i="1"/>
  <c r="BD257" i="1"/>
  <c r="AP257" i="1"/>
  <c r="AO257" i="1"/>
  <c r="AK257" i="1"/>
  <c r="AJ257" i="1"/>
  <c r="AH257" i="1"/>
  <c r="AG257" i="1"/>
  <c r="AF257" i="1"/>
  <c r="AE257" i="1"/>
  <c r="AD257" i="1"/>
  <c r="AC257" i="1"/>
  <c r="AB257" i="1"/>
  <c r="BW255" i="1"/>
  <c r="BJ255" i="1"/>
  <c r="BD255" i="1"/>
  <c r="AP255" i="1"/>
  <c r="AX255" i="1" s="1"/>
  <c r="AO255" i="1"/>
  <c r="BH255" i="1" s="1"/>
  <c r="AB255" i="1" s="1"/>
  <c r="AK255" i="1"/>
  <c r="AT254" i="1" s="1"/>
  <c r="AJ255" i="1"/>
  <c r="AS254" i="1" s="1"/>
  <c r="AH255" i="1"/>
  <c r="AG255" i="1"/>
  <c r="AF255" i="1"/>
  <c r="AE255" i="1"/>
  <c r="AD255" i="1"/>
  <c r="Z255" i="1"/>
  <c r="O255" i="1"/>
  <c r="BF255" i="1" s="1"/>
  <c r="L255" i="1"/>
  <c r="AL255" i="1" s="1"/>
  <c r="AU254" i="1" s="1"/>
  <c r="BW252" i="1"/>
  <c r="BJ252" i="1"/>
  <c r="BD252" i="1"/>
  <c r="AP252" i="1"/>
  <c r="AX252" i="1" s="1"/>
  <c r="AO252" i="1"/>
  <c r="BH252" i="1" s="1"/>
  <c r="AB252" i="1" s="1"/>
  <c r="AK252" i="1"/>
  <c r="AJ252" i="1"/>
  <c r="AH252" i="1"/>
  <c r="AG252" i="1"/>
  <c r="AF252" i="1"/>
  <c r="AE252" i="1"/>
  <c r="AD252" i="1"/>
  <c r="Z252" i="1"/>
  <c r="O252" i="1"/>
  <c r="BF252" i="1" s="1"/>
  <c r="L252" i="1"/>
  <c r="AL252" i="1" s="1"/>
  <c r="BW250" i="1"/>
  <c r="BJ250" i="1"/>
  <c r="BD250" i="1"/>
  <c r="AP250" i="1"/>
  <c r="AX250" i="1" s="1"/>
  <c r="AO250" i="1"/>
  <c r="BH250" i="1" s="1"/>
  <c r="AB250" i="1" s="1"/>
  <c r="AK250" i="1"/>
  <c r="AJ250" i="1"/>
  <c r="AH250" i="1"/>
  <c r="AG250" i="1"/>
  <c r="AF250" i="1"/>
  <c r="AE250" i="1"/>
  <c r="AD250" i="1"/>
  <c r="Z250" i="1"/>
  <c r="O250" i="1"/>
  <c r="BF250" i="1" s="1"/>
  <c r="L250" i="1"/>
  <c r="AL250" i="1" s="1"/>
  <c r="BW248" i="1"/>
  <c r="BJ248" i="1"/>
  <c r="BD248" i="1"/>
  <c r="AP248" i="1"/>
  <c r="AX248" i="1" s="1"/>
  <c r="AO248" i="1"/>
  <c r="BH248" i="1" s="1"/>
  <c r="AB248" i="1" s="1"/>
  <c r="AK248" i="1"/>
  <c r="AJ248" i="1"/>
  <c r="AH248" i="1"/>
  <c r="AG248" i="1"/>
  <c r="AF248" i="1"/>
  <c r="AE248" i="1"/>
  <c r="AD248" i="1"/>
  <c r="Z248" i="1"/>
  <c r="O248" i="1"/>
  <c r="BF248" i="1" s="1"/>
  <c r="L248" i="1"/>
  <c r="AL248" i="1" s="1"/>
  <c r="BW244" i="1"/>
  <c r="BJ244" i="1"/>
  <c r="BD244" i="1"/>
  <c r="AP244" i="1"/>
  <c r="AX244" i="1" s="1"/>
  <c r="AO244" i="1"/>
  <c r="BH244" i="1" s="1"/>
  <c r="AB244" i="1" s="1"/>
  <c r="AK244" i="1"/>
  <c r="AJ244" i="1"/>
  <c r="AH244" i="1"/>
  <c r="AG244" i="1"/>
  <c r="AF244" i="1"/>
  <c r="AE244" i="1"/>
  <c r="AD244" i="1"/>
  <c r="Z244" i="1"/>
  <c r="O244" i="1"/>
  <c r="BF244" i="1" s="1"/>
  <c r="L244" i="1"/>
  <c r="AL244" i="1" s="1"/>
  <c r="BW242" i="1"/>
  <c r="BJ242" i="1"/>
  <c r="BD242" i="1"/>
  <c r="AP242" i="1"/>
  <c r="AX242" i="1" s="1"/>
  <c r="AO242" i="1"/>
  <c r="BH242" i="1" s="1"/>
  <c r="AB242" i="1" s="1"/>
  <c r="AK242" i="1"/>
  <c r="AJ242" i="1"/>
  <c r="AH242" i="1"/>
  <c r="AG242" i="1"/>
  <c r="AF242" i="1"/>
  <c r="AE242" i="1"/>
  <c r="AD242" i="1"/>
  <c r="Z242" i="1"/>
  <c r="O242" i="1"/>
  <c r="BF242" i="1" s="1"/>
  <c r="L242" i="1"/>
  <c r="AL242" i="1" s="1"/>
  <c r="BW240" i="1"/>
  <c r="BJ240" i="1"/>
  <c r="BD240" i="1"/>
  <c r="AP240" i="1"/>
  <c r="AX240" i="1" s="1"/>
  <c r="AO240" i="1"/>
  <c r="BH240" i="1" s="1"/>
  <c r="AB240" i="1" s="1"/>
  <c r="AK240" i="1"/>
  <c r="AJ240" i="1"/>
  <c r="AH240" i="1"/>
  <c r="AG240" i="1"/>
  <c r="AF240" i="1"/>
  <c r="AE240" i="1"/>
  <c r="AD240" i="1"/>
  <c r="Z240" i="1"/>
  <c r="O240" i="1"/>
  <c r="L240" i="1"/>
  <c r="AL240" i="1" s="1"/>
  <c r="BW234" i="1"/>
  <c r="BJ234" i="1"/>
  <c r="BD234" i="1"/>
  <c r="AP234" i="1"/>
  <c r="AX234" i="1" s="1"/>
  <c r="AO234" i="1"/>
  <c r="BH234" i="1" s="1"/>
  <c r="AB234" i="1" s="1"/>
  <c r="AK234" i="1"/>
  <c r="AJ234" i="1"/>
  <c r="AH234" i="1"/>
  <c r="AG234" i="1"/>
  <c r="AF234" i="1"/>
  <c r="AE234" i="1"/>
  <c r="AD234" i="1"/>
  <c r="Z234" i="1"/>
  <c r="O234" i="1"/>
  <c r="BF234" i="1" s="1"/>
  <c r="L234" i="1"/>
  <c r="AL234" i="1" s="1"/>
  <c r="BW231" i="1"/>
  <c r="BJ231" i="1"/>
  <c r="BD231" i="1"/>
  <c r="AP231" i="1"/>
  <c r="AX231" i="1" s="1"/>
  <c r="AO231" i="1"/>
  <c r="BH231" i="1" s="1"/>
  <c r="AB231" i="1" s="1"/>
  <c r="AK231" i="1"/>
  <c r="AJ231" i="1"/>
  <c r="AH231" i="1"/>
  <c r="AG231" i="1"/>
  <c r="AF231" i="1"/>
  <c r="AE231" i="1"/>
  <c r="AD231" i="1"/>
  <c r="Z231" i="1"/>
  <c r="O231" i="1"/>
  <c r="BF231" i="1" s="1"/>
  <c r="L231" i="1"/>
  <c r="BW229" i="1"/>
  <c r="BJ229" i="1"/>
  <c r="BD229" i="1"/>
  <c r="AP229" i="1"/>
  <c r="AX229" i="1" s="1"/>
  <c r="AO229" i="1"/>
  <c r="BH229" i="1" s="1"/>
  <c r="AB229" i="1" s="1"/>
  <c r="AK229" i="1"/>
  <c r="AJ229" i="1"/>
  <c r="AH229" i="1"/>
  <c r="AG229" i="1"/>
  <c r="AF229" i="1"/>
  <c r="AE229" i="1"/>
  <c r="AD229" i="1"/>
  <c r="Z229" i="1"/>
  <c r="O229" i="1"/>
  <c r="BF229" i="1" s="1"/>
  <c r="L229" i="1"/>
  <c r="AL229" i="1" s="1"/>
  <c r="BW227" i="1"/>
  <c r="BJ227" i="1"/>
  <c r="BD227" i="1"/>
  <c r="AP227" i="1"/>
  <c r="AX227" i="1" s="1"/>
  <c r="AO227" i="1"/>
  <c r="BH227" i="1" s="1"/>
  <c r="AB227" i="1" s="1"/>
  <c r="AK227" i="1"/>
  <c r="AJ227" i="1"/>
  <c r="AH227" i="1"/>
  <c r="AG227" i="1"/>
  <c r="AF227" i="1"/>
  <c r="AE227" i="1"/>
  <c r="AD227" i="1"/>
  <c r="Z227" i="1"/>
  <c r="O227" i="1"/>
  <c r="BF227" i="1" s="1"/>
  <c r="L227" i="1"/>
  <c r="AL227" i="1" s="1"/>
  <c r="K227" i="1"/>
  <c r="BW225" i="1"/>
  <c r="BJ225" i="1"/>
  <c r="BD225" i="1"/>
  <c r="AP225" i="1"/>
  <c r="AX225" i="1" s="1"/>
  <c r="AO225" i="1"/>
  <c r="BH225" i="1" s="1"/>
  <c r="AB225" i="1" s="1"/>
  <c r="AK225" i="1"/>
  <c r="AJ225" i="1"/>
  <c r="AH225" i="1"/>
  <c r="AG225" i="1"/>
  <c r="AF225" i="1"/>
  <c r="AE225" i="1"/>
  <c r="AD225" i="1"/>
  <c r="Z225" i="1"/>
  <c r="O225" i="1"/>
  <c r="BF225" i="1" s="1"/>
  <c r="L225" i="1"/>
  <c r="AL225" i="1" s="1"/>
  <c r="BW223" i="1"/>
  <c r="BJ223" i="1"/>
  <c r="BD223" i="1"/>
  <c r="AP223" i="1"/>
  <c r="AX223" i="1" s="1"/>
  <c r="AO223" i="1"/>
  <c r="BH223" i="1" s="1"/>
  <c r="AB223" i="1" s="1"/>
  <c r="AK223" i="1"/>
  <c r="AJ223" i="1"/>
  <c r="AH223" i="1"/>
  <c r="AG223" i="1"/>
  <c r="AF223" i="1"/>
  <c r="AE223" i="1"/>
  <c r="AD223" i="1"/>
  <c r="Z223" i="1"/>
  <c r="O223" i="1"/>
  <c r="BF223" i="1" s="1"/>
  <c r="L223" i="1"/>
  <c r="BW221" i="1"/>
  <c r="BJ221" i="1"/>
  <c r="BD221" i="1"/>
  <c r="AP221" i="1"/>
  <c r="AX221" i="1" s="1"/>
  <c r="AO221" i="1"/>
  <c r="BH221" i="1" s="1"/>
  <c r="AB221" i="1" s="1"/>
  <c r="AK221" i="1"/>
  <c r="AJ221" i="1"/>
  <c r="AH221" i="1"/>
  <c r="AG221" i="1"/>
  <c r="AF221" i="1"/>
  <c r="AE221" i="1"/>
  <c r="AD221" i="1"/>
  <c r="Z221" i="1"/>
  <c r="O221" i="1"/>
  <c r="BF221" i="1" s="1"/>
  <c r="L221" i="1"/>
  <c r="AL221" i="1" s="1"/>
  <c r="BW217" i="1"/>
  <c r="BJ217" i="1"/>
  <c r="BD217" i="1"/>
  <c r="AP217" i="1"/>
  <c r="AX217" i="1" s="1"/>
  <c r="AO217" i="1"/>
  <c r="BH217" i="1" s="1"/>
  <c r="AB217" i="1" s="1"/>
  <c r="AK217" i="1"/>
  <c r="AJ217" i="1"/>
  <c r="AH217" i="1"/>
  <c r="AG217" i="1"/>
  <c r="AF217" i="1"/>
  <c r="AE217" i="1"/>
  <c r="AD217" i="1"/>
  <c r="Z217" i="1"/>
  <c r="O217" i="1"/>
  <c r="L217" i="1"/>
  <c r="AL217" i="1" s="1"/>
  <c r="K217" i="1"/>
  <c r="BW215" i="1"/>
  <c r="BJ215" i="1"/>
  <c r="BD215" i="1"/>
  <c r="AP215" i="1"/>
  <c r="AX215" i="1" s="1"/>
  <c r="AO215" i="1"/>
  <c r="BH215" i="1" s="1"/>
  <c r="AB215" i="1" s="1"/>
  <c r="AK215" i="1"/>
  <c r="AJ215" i="1"/>
  <c r="AH215" i="1"/>
  <c r="AG215" i="1"/>
  <c r="AF215" i="1"/>
  <c r="AE215" i="1"/>
  <c r="AD215" i="1"/>
  <c r="Z215" i="1"/>
  <c r="O215" i="1"/>
  <c r="BF215" i="1" s="1"/>
  <c r="L215" i="1"/>
  <c r="AL215" i="1" s="1"/>
  <c r="BW212" i="1"/>
  <c r="BJ212" i="1"/>
  <c r="BD212" i="1"/>
  <c r="AP212" i="1"/>
  <c r="AX212" i="1" s="1"/>
  <c r="AO212" i="1"/>
  <c r="BH212" i="1" s="1"/>
  <c r="AB212" i="1" s="1"/>
  <c r="AK212" i="1"/>
  <c r="AJ212" i="1"/>
  <c r="AH212" i="1"/>
  <c r="AG212" i="1"/>
  <c r="AF212" i="1"/>
  <c r="AE212" i="1"/>
  <c r="AD212" i="1"/>
  <c r="Z212" i="1"/>
  <c r="O212" i="1"/>
  <c r="BF212" i="1" s="1"/>
  <c r="L212" i="1"/>
  <c r="AL212" i="1" s="1"/>
  <c r="BW208" i="1"/>
  <c r="BJ208" i="1"/>
  <c r="BD208" i="1"/>
  <c r="AP208" i="1"/>
  <c r="AX208" i="1" s="1"/>
  <c r="AO208" i="1"/>
  <c r="BH208" i="1" s="1"/>
  <c r="AB208" i="1" s="1"/>
  <c r="AK208" i="1"/>
  <c r="AJ208" i="1"/>
  <c r="AH208" i="1"/>
  <c r="AG208" i="1"/>
  <c r="AF208" i="1"/>
  <c r="AE208" i="1"/>
  <c r="AD208" i="1"/>
  <c r="Z208" i="1"/>
  <c r="O208" i="1"/>
  <c r="BF208" i="1" s="1"/>
  <c r="L208" i="1"/>
  <c r="AL208" i="1" s="1"/>
  <c r="BW206" i="1"/>
  <c r="BJ206" i="1"/>
  <c r="BD206" i="1"/>
  <c r="AP206" i="1"/>
  <c r="AX206" i="1" s="1"/>
  <c r="AO206" i="1"/>
  <c r="BH206" i="1" s="1"/>
  <c r="AB206" i="1" s="1"/>
  <c r="AK206" i="1"/>
  <c r="AJ206" i="1"/>
  <c r="AH206" i="1"/>
  <c r="AG206" i="1"/>
  <c r="AF206" i="1"/>
  <c r="AE206" i="1"/>
  <c r="AD206" i="1"/>
  <c r="Z206" i="1"/>
  <c r="O206" i="1"/>
  <c r="BF206" i="1" s="1"/>
  <c r="L206" i="1"/>
  <c r="K206" i="1"/>
  <c r="BW205" i="1"/>
  <c r="BJ205" i="1"/>
  <c r="BD205" i="1"/>
  <c r="AP205" i="1"/>
  <c r="AX205" i="1" s="1"/>
  <c r="AO205" i="1"/>
  <c r="BH205" i="1" s="1"/>
  <c r="AB205" i="1" s="1"/>
  <c r="AK205" i="1"/>
  <c r="AJ205" i="1"/>
  <c r="AH205" i="1"/>
  <c r="AG205" i="1"/>
  <c r="AF205" i="1"/>
  <c r="AE205" i="1"/>
  <c r="AD205" i="1"/>
  <c r="Z205" i="1"/>
  <c r="O205" i="1"/>
  <c r="BF205" i="1" s="1"/>
  <c r="L205" i="1"/>
  <c r="AL205" i="1" s="1"/>
  <c r="BW202" i="1"/>
  <c r="BJ202" i="1"/>
  <c r="BD202" i="1"/>
  <c r="AP202" i="1"/>
  <c r="AX202" i="1" s="1"/>
  <c r="AO202" i="1"/>
  <c r="BH202" i="1" s="1"/>
  <c r="AB202" i="1" s="1"/>
  <c r="AK202" i="1"/>
  <c r="AJ202" i="1"/>
  <c r="AH202" i="1"/>
  <c r="AG202" i="1"/>
  <c r="AF202" i="1"/>
  <c r="AE202" i="1"/>
  <c r="AD202" i="1"/>
  <c r="Z202" i="1"/>
  <c r="O202" i="1"/>
  <c r="BF202" i="1" s="1"/>
  <c r="L202" i="1"/>
  <c r="BW199" i="1"/>
  <c r="BJ199" i="1"/>
  <c r="BD199" i="1"/>
  <c r="AP199" i="1"/>
  <c r="AX199" i="1" s="1"/>
  <c r="AO199" i="1"/>
  <c r="BH199" i="1" s="1"/>
  <c r="AB199" i="1" s="1"/>
  <c r="AK199" i="1"/>
  <c r="AT198" i="1" s="1"/>
  <c r="AJ199" i="1"/>
  <c r="AS198" i="1" s="1"/>
  <c r="AH199" i="1"/>
  <c r="AG199" i="1"/>
  <c r="AF199" i="1"/>
  <c r="AE199" i="1"/>
  <c r="AD199" i="1"/>
  <c r="Z199" i="1"/>
  <c r="O199" i="1"/>
  <c r="BF199" i="1" s="1"/>
  <c r="L199" i="1"/>
  <c r="L198" i="1" s="1"/>
  <c r="K34" i="2" s="1"/>
  <c r="N34" i="2" s="1"/>
  <c r="BW193" i="1"/>
  <c r="BD193" i="1"/>
  <c r="AP193" i="1"/>
  <c r="AO193" i="1"/>
  <c r="AK193" i="1"/>
  <c r="AJ193" i="1"/>
  <c r="AH193" i="1"/>
  <c r="AG193" i="1"/>
  <c r="AF193" i="1"/>
  <c r="AC193" i="1"/>
  <c r="AB193" i="1"/>
  <c r="Z193" i="1"/>
  <c r="BW188" i="1"/>
  <c r="BD188" i="1"/>
  <c r="AP188" i="1"/>
  <c r="AO188" i="1"/>
  <c r="AK188" i="1"/>
  <c r="AJ188" i="1"/>
  <c r="AH188" i="1"/>
  <c r="AG188" i="1"/>
  <c r="AF188" i="1"/>
  <c r="AC188" i="1"/>
  <c r="AB188" i="1"/>
  <c r="Z188" i="1"/>
  <c r="BW180" i="1"/>
  <c r="BJ180" i="1"/>
  <c r="BD180" i="1"/>
  <c r="AP180" i="1"/>
  <c r="AX180" i="1" s="1"/>
  <c r="AO180" i="1"/>
  <c r="BH180" i="1" s="1"/>
  <c r="AD180" i="1" s="1"/>
  <c r="AK180" i="1"/>
  <c r="AJ180" i="1"/>
  <c r="AH180" i="1"/>
  <c r="AG180" i="1"/>
  <c r="AF180" i="1"/>
  <c r="AC180" i="1"/>
  <c r="AB180" i="1"/>
  <c r="Z180" i="1"/>
  <c r="O180" i="1"/>
  <c r="BF180" i="1" s="1"/>
  <c r="L180" i="1"/>
  <c r="AL180" i="1" s="1"/>
  <c r="BW178" i="1"/>
  <c r="AK178" i="1"/>
  <c r="AJ178" i="1"/>
  <c r="AH178" i="1"/>
  <c r="AG178" i="1"/>
  <c r="AF178" i="1"/>
  <c r="AE178" i="1"/>
  <c r="AD178" i="1"/>
  <c r="AC178" i="1"/>
  <c r="AB178" i="1"/>
  <c r="O178" i="1"/>
  <c r="BF178" i="1" s="1"/>
  <c r="BW174" i="1"/>
  <c r="BJ174" i="1"/>
  <c r="BD174" i="1"/>
  <c r="AP174" i="1"/>
  <c r="AX174" i="1" s="1"/>
  <c r="AO174" i="1"/>
  <c r="AK174" i="1"/>
  <c r="AJ174" i="1"/>
  <c r="AH174" i="1"/>
  <c r="AG174" i="1"/>
  <c r="AF174" i="1"/>
  <c r="AC174" i="1"/>
  <c r="AB174" i="1"/>
  <c r="Z174" i="1"/>
  <c r="O174" i="1"/>
  <c r="BF174" i="1" s="1"/>
  <c r="L174" i="1"/>
  <c r="BW166" i="1"/>
  <c r="BJ166" i="1"/>
  <c r="BD166" i="1"/>
  <c r="AP166" i="1"/>
  <c r="AX166" i="1" s="1"/>
  <c r="AO166" i="1"/>
  <c r="BH166" i="1" s="1"/>
  <c r="AD166" i="1" s="1"/>
  <c r="AK166" i="1"/>
  <c r="AJ166" i="1"/>
  <c r="AH166" i="1"/>
  <c r="AG166" i="1"/>
  <c r="AF166" i="1"/>
  <c r="AC166" i="1"/>
  <c r="AB166" i="1"/>
  <c r="Z166" i="1"/>
  <c r="O166" i="1"/>
  <c r="BF166" i="1" s="1"/>
  <c r="L166" i="1"/>
  <c r="AL166" i="1" s="1"/>
  <c r="BW164" i="1"/>
  <c r="BJ164" i="1"/>
  <c r="BD164" i="1"/>
  <c r="AP164" i="1"/>
  <c r="AO164" i="1"/>
  <c r="BH164" i="1" s="1"/>
  <c r="AD164" i="1" s="1"/>
  <c r="AK164" i="1"/>
  <c r="AJ164" i="1"/>
  <c r="AH164" i="1"/>
  <c r="AG164" i="1"/>
  <c r="AF164" i="1"/>
  <c r="AC164" i="1"/>
  <c r="AB164" i="1"/>
  <c r="Z164" i="1"/>
  <c r="O164" i="1"/>
  <c r="BF164" i="1" s="1"/>
  <c r="L164" i="1"/>
  <c r="AL164" i="1" s="1"/>
  <c r="BW162" i="1"/>
  <c r="BJ162" i="1"/>
  <c r="BD162" i="1"/>
  <c r="AP162" i="1"/>
  <c r="AX162" i="1" s="1"/>
  <c r="AO162" i="1"/>
  <c r="BH162" i="1" s="1"/>
  <c r="AD162" i="1" s="1"/>
  <c r="AK162" i="1"/>
  <c r="AJ162" i="1"/>
  <c r="AH162" i="1"/>
  <c r="AG162" i="1"/>
  <c r="AF162" i="1"/>
  <c r="AC162" i="1"/>
  <c r="AB162" i="1"/>
  <c r="Z162" i="1"/>
  <c r="O162" i="1"/>
  <c r="BF162" i="1" s="1"/>
  <c r="L162" i="1"/>
  <c r="K162" i="1"/>
  <c r="J162" i="1"/>
  <c r="BW160" i="1"/>
  <c r="BJ160" i="1"/>
  <c r="BD160" i="1"/>
  <c r="AP160" i="1"/>
  <c r="AX160" i="1" s="1"/>
  <c r="AO160" i="1"/>
  <c r="BH160" i="1" s="1"/>
  <c r="AD160" i="1" s="1"/>
  <c r="AK160" i="1"/>
  <c r="AJ160" i="1"/>
  <c r="AH160" i="1"/>
  <c r="AG160" i="1"/>
  <c r="AF160" i="1"/>
  <c r="AC160" i="1"/>
  <c r="AB160" i="1"/>
  <c r="Z160" i="1"/>
  <c r="O160" i="1"/>
  <c r="BF160" i="1" s="1"/>
  <c r="L160" i="1"/>
  <c r="AL160" i="1" s="1"/>
  <c r="K160" i="1"/>
  <c r="BW158" i="1"/>
  <c r="BJ158" i="1"/>
  <c r="BD158" i="1"/>
  <c r="AP158" i="1"/>
  <c r="AX158" i="1" s="1"/>
  <c r="AO158" i="1"/>
  <c r="BH158" i="1" s="1"/>
  <c r="AD158" i="1" s="1"/>
  <c r="AK158" i="1"/>
  <c r="AJ158" i="1"/>
  <c r="AH158" i="1"/>
  <c r="AG158" i="1"/>
  <c r="AF158" i="1"/>
  <c r="AC158" i="1"/>
  <c r="AB158" i="1"/>
  <c r="Z158" i="1"/>
  <c r="O158" i="1"/>
  <c r="BF158" i="1" s="1"/>
  <c r="L158" i="1"/>
  <c r="BW156" i="1"/>
  <c r="BJ156" i="1"/>
  <c r="BD156" i="1"/>
  <c r="AP156" i="1"/>
  <c r="AX156" i="1" s="1"/>
  <c r="AO156" i="1"/>
  <c r="AK156" i="1"/>
  <c r="AJ156" i="1"/>
  <c r="AH156" i="1"/>
  <c r="AG156" i="1"/>
  <c r="AF156" i="1"/>
  <c r="AC156" i="1"/>
  <c r="AB156" i="1"/>
  <c r="Z156" i="1"/>
  <c r="O156" i="1"/>
  <c r="L156" i="1"/>
  <c r="BW154" i="1"/>
  <c r="AK154" i="1"/>
  <c r="AJ154" i="1"/>
  <c r="AH154" i="1"/>
  <c r="AG154" i="1"/>
  <c r="AF154" i="1"/>
  <c r="AE154" i="1"/>
  <c r="AD154" i="1"/>
  <c r="AC154" i="1"/>
  <c r="AB154" i="1"/>
  <c r="O154" i="1"/>
  <c r="BF154" i="1" s="1"/>
  <c r="BW152" i="1"/>
  <c r="BJ152" i="1"/>
  <c r="BD152" i="1"/>
  <c r="AP152" i="1"/>
  <c r="AX152" i="1" s="1"/>
  <c r="AO152" i="1"/>
  <c r="BH152" i="1" s="1"/>
  <c r="AD152" i="1" s="1"/>
  <c r="AK152" i="1"/>
  <c r="AJ152" i="1"/>
  <c r="AH152" i="1"/>
  <c r="AG152" i="1"/>
  <c r="AF152" i="1"/>
  <c r="AC152" i="1"/>
  <c r="AB152" i="1"/>
  <c r="Z152" i="1"/>
  <c r="O152" i="1"/>
  <c r="BF152" i="1" s="1"/>
  <c r="L152" i="1"/>
  <c r="BW150" i="1"/>
  <c r="AK150" i="1"/>
  <c r="AJ150" i="1"/>
  <c r="AH150" i="1"/>
  <c r="AG150" i="1"/>
  <c r="AF150" i="1"/>
  <c r="AE150" i="1"/>
  <c r="AD150" i="1"/>
  <c r="AC150" i="1"/>
  <c r="AB150" i="1"/>
  <c r="O150" i="1"/>
  <c r="BF150" i="1" s="1"/>
  <c r="BW146" i="1"/>
  <c r="BJ146" i="1"/>
  <c r="BD146" i="1"/>
  <c r="AP146" i="1"/>
  <c r="AX146" i="1" s="1"/>
  <c r="AO146" i="1"/>
  <c r="BH146" i="1" s="1"/>
  <c r="AD146" i="1" s="1"/>
  <c r="AK146" i="1"/>
  <c r="AJ146" i="1"/>
  <c r="AH146" i="1"/>
  <c r="AG146" i="1"/>
  <c r="AF146" i="1"/>
  <c r="AC146" i="1"/>
  <c r="AB146" i="1"/>
  <c r="Z146" i="1"/>
  <c r="O146" i="1"/>
  <c r="BF146" i="1" s="1"/>
  <c r="L146" i="1"/>
  <c r="BW144" i="1"/>
  <c r="BJ144" i="1"/>
  <c r="BD144" i="1"/>
  <c r="AP144" i="1"/>
  <c r="AX144" i="1" s="1"/>
  <c r="AO144" i="1"/>
  <c r="BH144" i="1" s="1"/>
  <c r="AD144" i="1" s="1"/>
  <c r="AK144" i="1"/>
  <c r="AJ144" i="1"/>
  <c r="AH144" i="1"/>
  <c r="AG144" i="1"/>
  <c r="AF144" i="1"/>
  <c r="AC144" i="1"/>
  <c r="AB144" i="1"/>
  <c r="Z144" i="1"/>
  <c r="O144" i="1"/>
  <c r="BF144" i="1" s="1"/>
  <c r="L144" i="1"/>
  <c r="BW142" i="1"/>
  <c r="AK142" i="1"/>
  <c r="AJ142" i="1"/>
  <c r="AH142" i="1"/>
  <c r="AG142" i="1"/>
  <c r="AF142" i="1"/>
  <c r="AE142" i="1"/>
  <c r="AD142" i="1"/>
  <c r="AC142" i="1"/>
  <c r="AB142" i="1"/>
  <c r="O142" i="1"/>
  <c r="BF142" i="1" s="1"/>
  <c r="BW140" i="1"/>
  <c r="BJ140" i="1"/>
  <c r="BD140" i="1"/>
  <c r="AP140" i="1"/>
  <c r="AX140" i="1" s="1"/>
  <c r="AO140" i="1"/>
  <c r="BH140" i="1" s="1"/>
  <c r="AD140" i="1" s="1"/>
  <c r="AK140" i="1"/>
  <c r="AJ140" i="1"/>
  <c r="AH140" i="1"/>
  <c r="AG140" i="1"/>
  <c r="AF140" i="1"/>
  <c r="AC140" i="1"/>
  <c r="AB140" i="1"/>
  <c r="Z140" i="1"/>
  <c r="O140" i="1"/>
  <c r="BF140" i="1" s="1"/>
  <c r="L140" i="1"/>
  <c r="K140" i="1"/>
  <c r="BW136" i="1"/>
  <c r="BJ136" i="1"/>
  <c r="BD136" i="1"/>
  <c r="AP136" i="1"/>
  <c r="AO136" i="1"/>
  <c r="BH136" i="1" s="1"/>
  <c r="AD136" i="1" s="1"/>
  <c r="AK136" i="1"/>
  <c r="AT135" i="1" s="1"/>
  <c r="AJ136" i="1"/>
  <c r="AS135" i="1" s="1"/>
  <c r="AH136" i="1"/>
  <c r="AG136" i="1"/>
  <c r="AF136" i="1"/>
  <c r="AC136" i="1"/>
  <c r="AB136" i="1"/>
  <c r="Z136" i="1"/>
  <c r="O136" i="1"/>
  <c r="O135" i="1" s="1"/>
  <c r="L28" i="2" s="1"/>
  <c r="L136" i="1"/>
  <c r="BW134" i="1"/>
  <c r="AK134" i="1"/>
  <c r="AJ134" i="1"/>
  <c r="AH134" i="1"/>
  <c r="AG134" i="1"/>
  <c r="AF134" i="1"/>
  <c r="AE134" i="1"/>
  <c r="AD134" i="1"/>
  <c r="AC134" i="1"/>
  <c r="AB134" i="1"/>
  <c r="O134" i="1"/>
  <c r="BF134" i="1" s="1"/>
  <c r="BW130" i="1"/>
  <c r="BD130" i="1"/>
  <c r="AP130" i="1"/>
  <c r="AO130" i="1"/>
  <c r="AK130" i="1"/>
  <c r="AJ130" i="1"/>
  <c r="AH130" i="1"/>
  <c r="AG130" i="1"/>
  <c r="AF130" i="1"/>
  <c r="AC130" i="1"/>
  <c r="AB130" i="1"/>
  <c r="Z130" i="1"/>
  <c r="BW129" i="1"/>
  <c r="BJ129" i="1"/>
  <c r="BD129" i="1"/>
  <c r="AP129" i="1"/>
  <c r="AX129" i="1" s="1"/>
  <c r="AO129" i="1"/>
  <c r="AW129" i="1" s="1"/>
  <c r="AK129" i="1"/>
  <c r="AJ129" i="1"/>
  <c r="AH129" i="1"/>
  <c r="AG129" i="1"/>
  <c r="AF129" i="1"/>
  <c r="AC129" i="1"/>
  <c r="AB129" i="1"/>
  <c r="Z129" i="1"/>
  <c r="O129" i="1"/>
  <c r="BF129" i="1" s="1"/>
  <c r="L129" i="1"/>
  <c r="AL129" i="1" s="1"/>
  <c r="BW126" i="1"/>
  <c r="BD126" i="1"/>
  <c r="AP126" i="1"/>
  <c r="AO126" i="1"/>
  <c r="AK126" i="1"/>
  <c r="AJ126" i="1"/>
  <c r="AH126" i="1"/>
  <c r="AG126" i="1"/>
  <c r="AF126" i="1"/>
  <c r="AC126" i="1"/>
  <c r="AB126" i="1"/>
  <c r="Z126" i="1"/>
  <c r="BW124" i="1"/>
  <c r="BD124" i="1"/>
  <c r="AP124" i="1"/>
  <c r="AO124" i="1"/>
  <c r="AK124" i="1"/>
  <c r="AJ124" i="1"/>
  <c r="AH124" i="1"/>
  <c r="AG124" i="1"/>
  <c r="AF124" i="1"/>
  <c r="AC124" i="1"/>
  <c r="AB124" i="1"/>
  <c r="Z124" i="1"/>
  <c r="BW122" i="1"/>
  <c r="BJ122" i="1"/>
  <c r="BD122" i="1"/>
  <c r="AP122" i="1"/>
  <c r="AX122" i="1" s="1"/>
  <c r="AO122" i="1"/>
  <c r="AW122" i="1" s="1"/>
  <c r="AK122" i="1"/>
  <c r="AJ122" i="1"/>
  <c r="AH122" i="1"/>
  <c r="AG122" i="1"/>
  <c r="AF122" i="1"/>
  <c r="AC122" i="1"/>
  <c r="AB122" i="1"/>
  <c r="Z122" i="1"/>
  <c r="O122" i="1"/>
  <c r="BF122" i="1" s="1"/>
  <c r="L122" i="1"/>
  <c r="AL122" i="1" s="1"/>
  <c r="BW119" i="1"/>
  <c r="BJ119" i="1"/>
  <c r="BD119" i="1"/>
  <c r="AP119" i="1"/>
  <c r="AX119" i="1" s="1"/>
  <c r="AO119" i="1"/>
  <c r="AW119" i="1" s="1"/>
  <c r="AK119" i="1"/>
  <c r="AJ119" i="1"/>
  <c r="AH119" i="1"/>
  <c r="AG119" i="1"/>
  <c r="AF119" i="1"/>
  <c r="AC119" i="1"/>
  <c r="AB119" i="1"/>
  <c r="Z119" i="1"/>
  <c r="O119" i="1"/>
  <c r="BF119" i="1" s="1"/>
  <c r="L119" i="1"/>
  <c r="AL119" i="1" s="1"/>
  <c r="BW117" i="1"/>
  <c r="BD117" i="1"/>
  <c r="AP117" i="1"/>
  <c r="AO117" i="1"/>
  <c r="AK117" i="1"/>
  <c r="AJ117" i="1"/>
  <c r="AH117" i="1"/>
  <c r="AG117" i="1"/>
  <c r="AF117" i="1"/>
  <c r="AC117" i="1"/>
  <c r="AB117" i="1"/>
  <c r="Z117" i="1"/>
  <c r="BW115" i="1"/>
  <c r="BD115" i="1"/>
  <c r="AP115" i="1"/>
  <c r="AO115" i="1"/>
  <c r="AK115" i="1"/>
  <c r="AJ115" i="1"/>
  <c r="AH115" i="1"/>
  <c r="AG115" i="1"/>
  <c r="AF115" i="1"/>
  <c r="AC115" i="1"/>
  <c r="AB115" i="1"/>
  <c r="Z115" i="1"/>
  <c r="BW112" i="1"/>
  <c r="BD112" i="1"/>
  <c r="AP112" i="1"/>
  <c r="AO112" i="1"/>
  <c r="AK112" i="1"/>
  <c r="AJ112" i="1"/>
  <c r="AH112" i="1"/>
  <c r="AG112" i="1"/>
  <c r="AF112" i="1"/>
  <c r="AC112" i="1"/>
  <c r="AB112" i="1"/>
  <c r="Z112" i="1"/>
  <c r="BW103" i="1"/>
  <c r="BJ103" i="1"/>
  <c r="BD103" i="1"/>
  <c r="AP103" i="1"/>
  <c r="AX103" i="1" s="1"/>
  <c r="AO103" i="1"/>
  <c r="BH103" i="1" s="1"/>
  <c r="AD103" i="1" s="1"/>
  <c r="AK103" i="1"/>
  <c r="AJ103" i="1"/>
  <c r="AH103" i="1"/>
  <c r="AG103" i="1"/>
  <c r="AF103" i="1"/>
  <c r="AC103" i="1"/>
  <c r="AB103" i="1"/>
  <c r="Z103" i="1"/>
  <c r="O103" i="1"/>
  <c r="BF103" i="1" s="1"/>
  <c r="L103" i="1"/>
  <c r="BW97" i="1"/>
  <c r="BD97" i="1"/>
  <c r="AP97" i="1"/>
  <c r="AO97" i="1"/>
  <c r="AK97" i="1"/>
  <c r="AJ97" i="1"/>
  <c r="AH97" i="1"/>
  <c r="AG97" i="1"/>
  <c r="AF97" i="1"/>
  <c r="AC97" i="1"/>
  <c r="AB97" i="1"/>
  <c r="Z97" i="1"/>
  <c r="BW93" i="1"/>
  <c r="BJ93" i="1"/>
  <c r="BD93" i="1"/>
  <c r="AP93" i="1"/>
  <c r="AX93" i="1" s="1"/>
  <c r="AO93" i="1"/>
  <c r="BH93" i="1" s="1"/>
  <c r="AD93" i="1" s="1"/>
  <c r="AK93" i="1"/>
  <c r="AJ93" i="1"/>
  <c r="AH93" i="1"/>
  <c r="AG93" i="1"/>
  <c r="AF93" i="1"/>
  <c r="AC93" i="1"/>
  <c r="AB93" i="1"/>
  <c r="Z93" i="1"/>
  <c r="O93" i="1"/>
  <c r="L93" i="1"/>
  <c r="BW91" i="1"/>
  <c r="AK91" i="1"/>
  <c r="AJ91" i="1"/>
  <c r="AH91" i="1"/>
  <c r="AG91" i="1"/>
  <c r="AF91" i="1"/>
  <c r="AE91" i="1"/>
  <c r="AD91" i="1"/>
  <c r="AC91" i="1"/>
  <c r="AB91" i="1"/>
  <c r="O91" i="1"/>
  <c r="BF91" i="1" s="1"/>
  <c r="BW89" i="1"/>
  <c r="BJ89" i="1"/>
  <c r="BD89" i="1"/>
  <c r="AP89" i="1"/>
  <c r="AX89" i="1" s="1"/>
  <c r="AO89" i="1"/>
  <c r="BH89" i="1" s="1"/>
  <c r="AD89" i="1" s="1"/>
  <c r="AK89" i="1"/>
  <c r="AJ89" i="1"/>
  <c r="AH89" i="1"/>
  <c r="AG89" i="1"/>
  <c r="AF89" i="1"/>
  <c r="AC89" i="1"/>
  <c r="AB89" i="1"/>
  <c r="Z89" i="1"/>
  <c r="O89" i="1"/>
  <c r="BF89" i="1" s="1"/>
  <c r="L89" i="1"/>
  <c r="BW87" i="1"/>
  <c r="BJ87" i="1"/>
  <c r="BD87" i="1"/>
  <c r="AP87" i="1"/>
  <c r="AX87" i="1" s="1"/>
  <c r="AO87" i="1"/>
  <c r="BH87" i="1" s="1"/>
  <c r="AD87" i="1" s="1"/>
  <c r="AK87" i="1"/>
  <c r="AJ87" i="1"/>
  <c r="AH87" i="1"/>
  <c r="AG87" i="1"/>
  <c r="AF87" i="1"/>
  <c r="AC87" i="1"/>
  <c r="AB87" i="1"/>
  <c r="Z87" i="1"/>
  <c r="O87" i="1"/>
  <c r="BF87" i="1" s="1"/>
  <c r="L87" i="1"/>
  <c r="BW84" i="1"/>
  <c r="BJ84" i="1"/>
  <c r="BD84" i="1"/>
  <c r="AP84" i="1"/>
  <c r="AX84" i="1" s="1"/>
  <c r="AO84" i="1"/>
  <c r="BH84" i="1" s="1"/>
  <c r="AB84" i="1" s="1"/>
  <c r="AK84" i="1"/>
  <c r="AT83" i="1" s="1"/>
  <c r="AJ84" i="1"/>
  <c r="AS83" i="1" s="1"/>
  <c r="AH84" i="1"/>
  <c r="AG84" i="1"/>
  <c r="AF84" i="1"/>
  <c r="AE84" i="1"/>
  <c r="AD84" i="1"/>
  <c r="Z84" i="1"/>
  <c r="O84" i="1"/>
  <c r="BF84" i="1" s="1"/>
  <c r="L84" i="1"/>
  <c r="BW79" i="1"/>
  <c r="BJ79" i="1"/>
  <c r="BD79" i="1"/>
  <c r="AP79" i="1"/>
  <c r="AX79" i="1" s="1"/>
  <c r="AO79" i="1"/>
  <c r="BH79" i="1" s="1"/>
  <c r="AB79" i="1" s="1"/>
  <c r="AK79" i="1"/>
  <c r="AT78" i="1" s="1"/>
  <c r="AJ79" i="1"/>
  <c r="AS78" i="1" s="1"/>
  <c r="AH79" i="1"/>
  <c r="AG79" i="1"/>
  <c r="AF79" i="1"/>
  <c r="AE79" i="1"/>
  <c r="AD79" i="1"/>
  <c r="Z79" i="1"/>
  <c r="O79" i="1"/>
  <c r="BF79" i="1" s="1"/>
  <c r="L79" i="1"/>
  <c r="AL79" i="1" s="1"/>
  <c r="AU78" i="1" s="1"/>
  <c r="BW74" i="1"/>
  <c r="BJ74" i="1"/>
  <c r="BD74" i="1"/>
  <c r="AP74" i="1"/>
  <c r="AX74" i="1" s="1"/>
  <c r="AO74" i="1"/>
  <c r="BH74" i="1" s="1"/>
  <c r="AB74" i="1" s="1"/>
  <c r="AK74" i="1"/>
  <c r="AT73" i="1" s="1"/>
  <c r="AJ74" i="1"/>
  <c r="AS73" i="1" s="1"/>
  <c r="AH74" i="1"/>
  <c r="AG74" i="1"/>
  <c r="AF74" i="1"/>
  <c r="AE74" i="1"/>
  <c r="AD74" i="1"/>
  <c r="Z74" i="1"/>
  <c r="O74" i="1"/>
  <c r="BF74" i="1" s="1"/>
  <c r="L74" i="1"/>
  <c r="AL74" i="1" s="1"/>
  <c r="AU73" i="1" s="1"/>
  <c r="BW69" i="1"/>
  <c r="BJ69" i="1"/>
  <c r="BD69" i="1"/>
  <c r="AP69" i="1"/>
  <c r="AX69" i="1" s="1"/>
  <c r="AO69" i="1"/>
  <c r="BH69" i="1" s="1"/>
  <c r="AB69" i="1" s="1"/>
  <c r="AK69" i="1"/>
  <c r="AJ69" i="1"/>
  <c r="AH69" i="1"/>
  <c r="AG69" i="1"/>
  <c r="AF69" i="1"/>
  <c r="AE69" i="1"/>
  <c r="AD69" i="1"/>
  <c r="Z69" i="1"/>
  <c r="O69" i="1"/>
  <c r="BF69" i="1" s="1"/>
  <c r="L69" i="1"/>
  <c r="AL69" i="1" s="1"/>
  <c r="BW65" i="1"/>
  <c r="BJ65" i="1"/>
  <c r="BD65" i="1"/>
  <c r="AP65" i="1"/>
  <c r="AX65" i="1" s="1"/>
  <c r="AO65" i="1"/>
  <c r="BH65" i="1" s="1"/>
  <c r="AB65" i="1" s="1"/>
  <c r="AK65" i="1"/>
  <c r="AJ65" i="1"/>
  <c r="AH65" i="1"/>
  <c r="AG65" i="1"/>
  <c r="AF65" i="1"/>
  <c r="AE65" i="1"/>
  <c r="AD65" i="1"/>
  <c r="Z65" i="1"/>
  <c r="O65" i="1"/>
  <c r="BF65" i="1" s="1"/>
  <c r="L65" i="1"/>
  <c r="AL65" i="1" s="1"/>
  <c r="BW61" i="1"/>
  <c r="BJ61" i="1"/>
  <c r="BD61" i="1"/>
  <c r="AP61" i="1"/>
  <c r="AX61" i="1" s="1"/>
  <c r="AO61" i="1"/>
  <c r="BH61" i="1" s="1"/>
  <c r="AB61" i="1" s="1"/>
  <c r="AK61" i="1"/>
  <c r="AT60" i="1" s="1"/>
  <c r="AJ61" i="1"/>
  <c r="AS60" i="1" s="1"/>
  <c r="AH61" i="1"/>
  <c r="AG61" i="1"/>
  <c r="AF61" i="1"/>
  <c r="AE61" i="1"/>
  <c r="AD61" i="1"/>
  <c r="Z61" i="1"/>
  <c r="O61" i="1"/>
  <c r="BF61" i="1" s="1"/>
  <c r="L61" i="1"/>
  <c r="AL61" i="1" s="1"/>
  <c r="AU60" i="1" s="1"/>
  <c r="BW55" i="1"/>
  <c r="BJ55" i="1"/>
  <c r="BD55" i="1"/>
  <c r="AP55" i="1"/>
  <c r="AX55" i="1" s="1"/>
  <c r="AO55" i="1"/>
  <c r="BH55" i="1" s="1"/>
  <c r="AB55" i="1" s="1"/>
  <c r="AK55" i="1"/>
  <c r="AJ55" i="1"/>
  <c r="AH55" i="1"/>
  <c r="AG55" i="1"/>
  <c r="AF55" i="1"/>
  <c r="AE55" i="1"/>
  <c r="AD55" i="1"/>
  <c r="Z55" i="1"/>
  <c r="O55" i="1"/>
  <c r="BF55" i="1" s="1"/>
  <c r="L55" i="1"/>
  <c r="AL55" i="1" s="1"/>
  <c r="BW53" i="1"/>
  <c r="BJ53" i="1"/>
  <c r="BD53" i="1"/>
  <c r="AP53" i="1"/>
  <c r="AX53" i="1" s="1"/>
  <c r="AO53" i="1"/>
  <c r="BH53" i="1" s="1"/>
  <c r="AB53" i="1" s="1"/>
  <c r="AK53" i="1"/>
  <c r="AJ53" i="1"/>
  <c r="AH53" i="1"/>
  <c r="AG53" i="1"/>
  <c r="AF53" i="1"/>
  <c r="AE53" i="1"/>
  <c r="AD53" i="1"/>
  <c r="Z53" i="1"/>
  <c r="O53" i="1"/>
  <c r="BF53" i="1" s="1"/>
  <c r="L53" i="1"/>
  <c r="AL53" i="1" s="1"/>
  <c r="BW51" i="1"/>
  <c r="BJ51" i="1"/>
  <c r="BD51" i="1"/>
  <c r="AP51" i="1"/>
  <c r="AX51" i="1" s="1"/>
  <c r="AO51" i="1"/>
  <c r="BH51" i="1" s="1"/>
  <c r="AB51" i="1" s="1"/>
  <c r="AK51" i="1"/>
  <c r="AJ51" i="1"/>
  <c r="AH51" i="1"/>
  <c r="AG51" i="1"/>
  <c r="AF51" i="1"/>
  <c r="AE51" i="1"/>
  <c r="AD51" i="1"/>
  <c r="Z51" i="1"/>
  <c r="O51" i="1"/>
  <c r="BF51" i="1" s="1"/>
  <c r="L51" i="1"/>
  <c r="BW49" i="1"/>
  <c r="BJ49" i="1"/>
  <c r="BD49" i="1"/>
  <c r="AP49" i="1"/>
  <c r="AX49" i="1" s="1"/>
  <c r="AO49" i="1"/>
  <c r="BH49" i="1" s="1"/>
  <c r="AB49" i="1" s="1"/>
  <c r="AK49" i="1"/>
  <c r="AJ49" i="1"/>
  <c r="AH49" i="1"/>
  <c r="AG49" i="1"/>
  <c r="AF49" i="1"/>
  <c r="AE49" i="1"/>
  <c r="AD49" i="1"/>
  <c r="Z49" i="1"/>
  <c r="O49" i="1"/>
  <c r="BF49" i="1" s="1"/>
  <c r="L49" i="1"/>
  <c r="AL49" i="1" s="1"/>
  <c r="BW47" i="1"/>
  <c r="BD47" i="1"/>
  <c r="AP47" i="1"/>
  <c r="AO47" i="1"/>
  <c r="AK47" i="1"/>
  <c r="AT46" i="1" s="1"/>
  <c r="AJ47" i="1"/>
  <c r="AS46" i="1" s="1"/>
  <c r="AH47" i="1"/>
  <c r="AG47" i="1"/>
  <c r="AF47" i="1"/>
  <c r="AE47" i="1"/>
  <c r="AD47" i="1"/>
  <c r="Z47" i="1"/>
  <c r="BW42" i="1"/>
  <c r="BJ42" i="1"/>
  <c r="BD42" i="1"/>
  <c r="AP42" i="1"/>
  <c r="AX42" i="1" s="1"/>
  <c r="AO42" i="1"/>
  <c r="BH42" i="1" s="1"/>
  <c r="AB42" i="1" s="1"/>
  <c r="AK42" i="1"/>
  <c r="AT41" i="1" s="1"/>
  <c r="AJ42" i="1"/>
  <c r="AS41" i="1" s="1"/>
  <c r="AH42" i="1"/>
  <c r="AG42" i="1"/>
  <c r="AF42" i="1"/>
  <c r="AE42" i="1"/>
  <c r="AD42" i="1"/>
  <c r="Z42" i="1"/>
  <c r="O42" i="1"/>
  <c r="BF42" i="1" s="1"/>
  <c r="L42" i="1"/>
  <c r="BW40" i="1"/>
  <c r="BD40" i="1"/>
  <c r="AP40" i="1"/>
  <c r="AO40" i="1"/>
  <c r="AK40" i="1"/>
  <c r="AJ40" i="1"/>
  <c r="AH40" i="1"/>
  <c r="AG40" i="1"/>
  <c r="AF40" i="1"/>
  <c r="AE40" i="1"/>
  <c r="AD40" i="1"/>
  <c r="Z40" i="1"/>
  <c r="BW39" i="1"/>
  <c r="BD39" i="1"/>
  <c r="AP39" i="1"/>
  <c r="AO39" i="1"/>
  <c r="AK39" i="1"/>
  <c r="AJ39" i="1"/>
  <c r="AH39" i="1"/>
  <c r="AG39" i="1"/>
  <c r="AF39" i="1"/>
  <c r="AE39" i="1"/>
  <c r="AD39" i="1"/>
  <c r="Z39" i="1"/>
  <c r="BW36" i="1"/>
  <c r="BD36" i="1"/>
  <c r="AP36" i="1"/>
  <c r="AO36" i="1"/>
  <c r="AK36" i="1"/>
  <c r="AJ36" i="1"/>
  <c r="AH36" i="1"/>
  <c r="AG36" i="1"/>
  <c r="AF36" i="1"/>
  <c r="AE36" i="1"/>
  <c r="AD36" i="1"/>
  <c r="Z36" i="1"/>
  <c r="BW35" i="1"/>
  <c r="BD35" i="1"/>
  <c r="AP35" i="1"/>
  <c r="AO35" i="1"/>
  <c r="AK35" i="1"/>
  <c r="AJ35" i="1"/>
  <c r="AH35" i="1"/>
  <c r="AG35" i="1"/>
  <c r="AF35" i="1"/>
  <c r="AE35" i="1"/>
  <c r="AD35" i="1"/>
  <c r="Z35" i="1"/>
  <c r="BW31" i="1"/>
  <c r="BD31" i="1"/>
  <c r="AP31" i="1"/>
  <c r="AO31" i="1"/>
  <c r="AK31" i="1"/>
  <c r="AJ31" i="1"/>
  <c r="AH31" i="1"/>
  <c r="AG31" i="1"/>
  <c r="AF31" i="1"/>
  <c r="AE31" i="1"/>
  <c r="AD31" i="1"/>
  <c r="Z31" i="1"/>
  <c r="BW27" i="1"/>
  <c r="BJ27" i="1"/>
  <c r="BD27" i="1"/>
  <c r="AP27" i="1"/>
  <c r="AX27" i="1" s="1"/>
  <c r="AO27" i="1"/>
  <c r="BH27" i="1" s="1"/>
  <c r="AB27" i="1" s="1"/>
  <c r="AK27" i="1"/>
  <c r="AJ27" i="1"/>
  <c r="AH27" i="1"/>
  <c r="AG27" i="1"/>
  <c r="AF27" i="1"/>
  <c r="AE27" i="1"/>
  <c r="AD27" i="1"/>
  <c r="Z27" i="1"/>
  <c r="O27" i="1"/>
  <c r="BF27" i="1" s="1"/>
  <c r="L27" i="1"/>
  <c r="BW24" i="1"/>
  <c r="BJ24" i="1"/>
  <c r="BD24" i="1"/>
  <c r="AP24" i="1"/>
  <c r="AX24" i="1" s="1"/>
  <c r="AO24" i="1"/>
  <c r="BH24" i="1" s="1"/>
  <c r="AB24" i="1" s="1"/>
  <c r="AK24" i="1"/>
  <c r="AT23" i="1" s="1"/>
  <c r="AJ24" i="1"/>
  <c r="AS23" i="1" s="1"/>
  <c r="AH24" i="1"/>
  <c r="AG24" i="1"/>
  <c r="AF24" i="1"/>
  <c r="AE24" i="1"/>
  <c r="AD24" i="1"/>
  <c r="Z24" i="1"/>
  <c r="O24" i="1"/>
  <c r="BF24" i="1" s="1"/>
  <c r="L24" i="1"/>
  <c r="L23" i="1" s="1"/>
  <c r="K13" i="2" s="1"/>
  <c r="N13" i="2" s="1"/>
  <c r="K24" i="1"/>
  <c r="K23" i="1" s="1"/>
  <c r="J13" i="2" s="1"/>
  <c r="BW13" i="1"/>
  <c r="BJ13" i="1"/>
  <c r="BD13" i="1"/>
  <c r="AP13" i="1"/>
  <c r="AX13" i="1" s="1"/>
  <c r="AO13" i="1"/>
  <c r="BH13" i="1" s="1"/>
  <c r="AB13" i="1" s="1"/>
  <c r="AK13" i="1"/>
  <c r="AJ13" i="1"/>
  <c r="AS12" i="1" s="1"/>
  <c r="AH13" i="1"/>
  <c r="AG13" i="1"/>
  <c r="AF13" i="1"/>
  <c r="AE13" i="1"/>
  <c r="AD13" i="1"/>
  <c r="Z13" i="1"/>
  <c r="O13" i="1"/>
  <c r="L13" i="1"/>
  <c r="AT1" i="1"/>
  <c r="AS1" i="1"/>
  <c r="K174" i="1" l="1"/>
  <c r="K338" i="1"/>
  <c r="K158" i="1"/>
  <c r="AS34" i="1"/>
  <c r="K357" i="1"/>
  <c r="K493" i="1"/>
  <c r="K349" i="1"/>
  <c r="K156" i="1"/>
  <c r="K199" i="1"/>
  <c r="K198" i="1" s="1"/>
  <c r="J34" i="2" s="1"/>
  <c r="K391" i="1"/>
  <c r="K51" i="1"/>
  <c r="K308" i="1"/>
  <c r="J501" i="1"/>
  <c r="K330" i="1"/>
  <c r="K13" i="1"/>
  <c r="K312" i="1"/>
  <c r="K373" i="1"/>
  <c r="K503" i="1"/>
  <c r="K325" i="1"/>
  <c r="AT38" i="1"/>
  <c r="K65" i="1"/>
  <c r="K334" i="1"/>
  <c r="K501" i="1"/>
  <c r="AS214" i="1"/>
  <c r="AT214" i="1"/>
  <c r="AT26" i="1"/>
  <c r="AU207" i="1"/>
  <c r="AS207" i="1"/>
  <c r="J371" i="1"/>
  <c r="AX31" i="1"/>
  <c r="AW117" i="1"/>
  <c r="AW49" i="1"/>
  <c r="BC49" i="1" s="1"/>
  <c r="J53" i="1"/>
  <c r="AT64" i="1"/>
  <c r="AX130" i="1"/>
  <c r="AX112" i="1"/>
  <c r="AS64" i="1"/>
  <c r="AX115" i="1"/>
  <c r="AW115" i="1"/>
  <c r="BD142" i="1"/>
  <c r="AW124" i="1"/>
  <c r="AX97" i="1"/>
  <c r="AK5" i="1"/>
  <c r="AJ5" i="1"/>
  <c r="AH5" i="1"/>
  <c r="J39" i="1"/>
  <c r="J35" i="1"/>
  <c r="M425" i="1"/>
  <c r="M427" i="1"/>
  <c r="M429" i="1"/>
  <c r="J425" i="1"/>
  <c r="J427" i="1"/>
  <c r="J429" i="1"/>
  <c r="J485" i="1"/>
  <c r="J487" i="1"/>
  <c r="J491" i="1"/>
  <c r="J419" i="1"/>
  <c r="J69" i="1"/>
  <c r="A58" i="1"/>
  <c r="A61" i="1" s="1"/>
  <c r="A65" i="1" s="1"/>
  <c r="A69" i="1" s="1"/>
  <c r="A74" i="1" s="1"/>
  <c r="A79" i="1" s="1"/>
  <c r="A84" i="1" s="1"/>
  <c r="A87" i="1" s="1"/>
  <c r="A89" i="1" s="1"/>
  <c r="A91" i="1" s="1"/>
  <c r="A93" i="1" s="1"/>
  <c r="A97" i="1" s="1"/>
  <c r="A103" i="1" s="1"/>
  <c r="A112" i="1" s="1"/>
  <c r="A115" i="1" s="1"/>
  <c r="A117" i="1" s="1"/>
  <c r="A119" i="1" s="1"/>
  <c r="A122" i="1" s="1"/>
  <c r="A124" i="1" s="1"/>
  <c r="A126" i="1" s="1"/>
  <c r="A129" i="1" s="1"/>
  <c r="A130" i="1" s="1"/>
  <c r="A134" i="1" s="1"/>
  <c r="A136" i="1" s="1"/>
  <c r="L41" i="1"/>
  <c r="K17" i="2" s="1"/>
  <c r="N17" i="2" s="1"/>
  <c r="AL136" i="1"/>
  <c r="AU135" i="1" s="1"/>
  <c r="BF411" i="1"/>
  <c r="O301" i="1"/>
  <c r="L43" i="2" s="1"/>
  <c r="I23" i="4"/>
  <c r="AL353" i="1"/>
  <c r="F22" i="3"/>
  <c r="BC473" i="1"/>
  <c r="AV473" i="1"/>
  <c r="AT48" i="1"/>
  <c r="J79" i="1"/>
  <c r="J78" i="1" s="1"/>
  <c r="I24" i="2" s="1"/>
  <c r="AS139" i="1"/>
  <c r="AT151" i="1"/>
  <c r="AT207" i="1"/>
  <c r="K55" i="1"/>
  <c r="L60" i="1"/>
  <c r="K21" i="2" s="1"/>
  <c r="N21" i="2" s="1"/>
  <c r="AS151" i="1"/>
  <c r="AT179" i="1"/>
  <c r="M199" i="1"/>
  <c r="M198" i="1" s="1"/>
  <c r="J327" i="1"/>
  <c r="J332" i="1"/>
  <c r="J336" i="1"/>
  <c r="J339" i="1"/>
  <c r="M355" i="1"/>
  <c r="J355" i="1"/>
  <c r="J389" i="1"/>
  <c r="J393" i="1"/>
  <c r="J397" i="1"/>
  <c r="AT12" i="1"/>
  <c r="J208" i="1"/>
  <c r="O73" i="1"/>
  <c r="L23" i="2" s="1"/>
  <c r="BJ142" i="1"/>
  <c r="Z142" i="1" s="1"/>
  <c r="M152" i="1"/>
  <c r="AL425" i="1"/>
  <c r="AT433" i="1"/>
  <c r="AS490" i="1"/>
  <c r="J152" i="1"/>
  <c r="AW425" i="1"/>
  <c r="AL87" i="1"/>
  <c r="M93" i="1"/>
  <c r="AL144" i="1"/>
  <c r="J42" i="1"/>
  <c r="O78" i="1"/>
  <c r="L24" i="2" s="1"/>
  <c r="L142" i="1"/>
  <c r="AL142" i="1" s="1"/>
  <c r="AP142" i="1"/>
  <c r="BI142" i="1" s="1"/>
  <c r="AS143" i="1"/>
  <c r="M158" i="1"/>
  <c r="M212" i="1"/>
  <c r="AW323" i="1"/>
  <c r="AV323" i="1" s="1"/>
  <c r="M413" i="1"/>
  <c r="AL152" i="1"/>
  <c r="J27" i="1"/>
  <c r="L78" i="1"/>
  <c r="K24" i="2" s="1"/>
  <c r="N24" i="2" s="1"/>
  <c r="J93" i="1"/>
  <c r="J97" i="1"/>
  <c r="AO142" i="1"/>
  <c r="BH142" i="1" s="1"/>
  <c r="J314" i="1"/>
  <c r="J318" i="1"/>
  <c r="J320" i="1"/>
  <c r="J323" i="1"/>
  <c r="M387" i="1"/>
  <c r="M391" i="1"/>
  <c r="M394" i="1"/>
  <c r="J415" i="1"/>
  <c r="M417" i="1"/>
  <c r="J423" i="1"/>
  <c r="M244" i="1"/>
  <c r="M252" i="1"/>
  <c r="O60" i="1"/>
  <c r="L21" i="2" s="1"/>
  <c r="M119" i="1"/>
  <c r="J146" i="1"/>
  <c r="J180" i="1"/>
  <c r="AU233" i="1"/>
  <c r="AS233" i="1"/>
  <c r="AT233" i="1"/>
  <c r="M242" i="1"/>
  <c r="M250" i="1"/>
  <c r="M327" i="1"/>
  <c r="AW339" i="1"/>
  <c r="AV339" i="1" s="1"/>
  <c r="J343" i="1"/>
  <c r="J361" i="1"/>
  <c r="M370" i="1"/>
  <c r="M373" i="1"/>
  <c r="L73" i="1"/>
  <c r="K23" i="2" s="1"/>
  <c r="N23" i="2" s="1"/>
  <c r="K74" i="1"/>
  <c r="K73" i="1" s="1"/>
  <c r="J23" i="2" s="1"/>
  <c r="M89" i="1"/>
  <c r="AT143" i="1"/>
  <c r="J199" i="1"/>
  <c r="J198" i="1" s="1"/>
  <c r="I34" i="2" s="1"/>
  <c r="AL199" i="1"/>
  <c r="AU198" i="1" s="1"/>
  <c r="M225" i="1"/>
  <c r="M229" i="1"/>
  <c r="AT256" i="1"/>
  <c r="K409" i="1"/>
  <c r="K413" i="1"/>
  <c r="AS433" i="1"/>
  <c r="O23" i="1"/>
  <c r="L13" i="2" s="1"/>
  <c r="J49" i="1"/>
  <c r="J61" i="1"/>
  <c r="J60" i="1" s="1"/>
  <c r="I21" i="2" s="1"/>
  <c r="O64" i="1"/>
  <c r="L22" i="2" s="1"/>
  <c r="M79" i="1"/>
  <c r="M78" i="1" s="1"/>
  <c r="AW79" i="1"/>
  <c r="AV79" i="1" s="1"/>
  <c r="J89" i="1"/>
  <c r="M140" i="1"/>
  <c r="M146" i="1"/>
  <c r="AW180" i="1"/>
  <c r="AV180" i="1" s="1"/>
  <c r="AW199" i="1"/>
  <c r="BC199" i="1" s="1"/>
  <c r="O201" i="1"/>
  <c r="L35" i="2" s="1"/>
  <c r="M314" i="1"/>
  <c r="AW314" i="1"/>
  <c r="AV314" i="1" s="1"/>
  <c r="AL413" i="1"/>
  <c r="AW87" i="1"/>
  <c r="BC87" i="1" s="1"/>
  <c r="AL89" i="1"/>
  <c r="M103" i="1"/>
  <c r="AW144" i="1"/>
  <c r="BC144" i="1" s="1"/>
  <c r="AW152" i="1"/>
  <c r="BC152" i="1" s="1"/>
  <c r="M208" i="1"/>
  <c r="AW208" i="1"/>
  <c r="AV208" i="1" s="1"/>
  <c r="M215" i="1"/>
  <c r="AW229" i="1"/>
  <c r="BC229" i="1" s="1"/>
  <c r="M240" i="1"/>
  <c r="M248" i="1"/>
  <c r="M304" i="1"/>
  <c r="AS301" i="1"/>
  <c r="AW310" i="1"/>
  <c r="BC310" i="1" s="1"/>
  <c r="M343" i="1"/>
  <c r="AW343" i="1"/>
  <c r="AV343" i="1" s="1"/>
  <c r="J365" i="1"/>
  <c r="M368" i="1"/>
  <c r="M409" i="1"/>
  <c r="J411" i="1"/>
  <c r="AL417" i="1"/>
  <c r="AW429" i="1"/>
  <c r="O433" i="1"/>
  <c r="L44" i="2" s="1"/>
  <c r="M27" i="1"/>
  <c r="AS26" i="1"/>
  <c r="AW27" i="1"/>
  <c r="AV27" i="1" s="1"/>
  <c r="AT34" i="1"/>
  <c r="AW42" i="1"/>
  <c r="AV42" i="1" s="1"/>
  <c r="O48" i="1"/>
  <c r="M53" i="1"/>
  <c r="AW53" i="1"/>
  <c r="AV53" i="1" s="1"/>
  <c r="M84" i="1"/>
  <c r="M83" i="1" s="1"/>
  <c r="J87" i="1"/>
  <c r="AW97" i="1"/>
  <c r="J103" i="1"/>
  <c r="O139" i="1"/>
  <c r="L29" i="2" s="1"/>
  <c r="M144" i="1"/>
  <c r="AL146" i="1"/>
  <c r="AL158" i="1"/>
  <c r="O254" i="1"/>
  <c r="L40" i="2" s="1"/>
  <c r="J306" i="1"/>
  <c r="J310" i="1"/>
  <c r="J369" i="1"/>
  <c r="AT155" i="1"/>
  <c r="L201" i="1"/>
  <c r="K35" i="2" s="1"/>
  <c r="N35" i="2" s="1"/>
  <c r="AS220" i="1"/>
  <c r="AS38" i="1"/>
  <c r="M61" i="1"/>
  <c r="M60" i="1" s="1"/>
  <c r="J74" i="1"/>
  <c r="J73" i="1" s="1"/>
  <c r="I23" i="2" s="1"/>
  <c r="K89" i="1"/>
  <c r="AT139" i="1"/>
  <c r="J144" i="1"/>
  <c r="J229" i="1"/>
  <c r="AW327" i="1"/>
  <c r="AV327" i="1" s="1"/>
  <c r="AW355" i="1"/>
  <c r="AV355" i="1" s="1"/>
  <c r="M363" i="1"/>
  <c r="AL373" i="1"/>
  <c r="AL394" i="1"/>
  <c r="K417" i="1"/>
  <c r="AL429" i="1"/>
  <c r="AL434" i="1"/>
  <c r="C20" i="3"/>
  <c r="O12" i="1"/>
  <c r="L12" i="2" s="1"/>
  <c r="O41" i="1"/>
  <c r="L17" i="2" s="1"/>
  <c r="L48" i="1"/>
  <c r="K19" i="2" s="1"/>
  <c r="N19" i="2" s="1"/>
  <c r="M69" i="1"/>
  <c r="AW69" i="1"/>
  <c r="AV69" i="1" s="1"/>
  <c r="M74" i="1"/>
  <c r="M73" i="1" s="1"/>
  <c r="L83" i="1"/>
  <c r="K25" i="2" s="1"/>
  <c r="N25" i="2" s="1"/>
  <c r="J84" i="1"/>
  <c r="J83" i="1" s="1"/>
  <c r="I25" i="2" s="1"/>
  <c r="AL84" i="1"/>
  <c r="AU83" i="1" s="1"/>
  <c r="O86" i="1"/>
  <c r="L26" i="2" s="1"/>
  <c r="AT86" i="1"/>
  <c r="AW93" i="1"/>
  <c r="BC93" i="1" s="1"/>
  <c r="AW103" i="1"/>
  <c r="BC103" i="1" s="1"/>
  <c r="M129" i="1"/>
  <c r="K152" i="1"/>
  <c r="O155" i="1"/>
  <c r="L32" i="2" s="1"/>
  <c r="M160" i="1"/>
  <c r="J164" i="1"/>
  <c r="O198" i="1"/>
  <c r="L34" i="2" s="1"/>
  <c r="M202" i="1"/>
  <c r="AS201" i="1"/>
  <c r="AW202" i="1"/>
  <c r="AV202" i="1" s="1"/>
  <c r="K208" i="1"/>
  <c r="AW212" i="1"/>
  <c r="AV212" i="1" s="1"/>
  <c r="O214" i="1"/>
  <c r="BF217" i="1"/>
  <c r="J221" i="1"/>
  <c r="AT220" i="1"/>
  <c r="AW221" i="1"/>
  <c r="AV221" i="1" s="1"/>
  <c r="J223" i="1"/>
  <c r="K229" i="1"/>
  <c r="M231" i="1"/>
  <c r="O233" i="1"/>
  <c r="L39" i="2" s="1"/>
  <c r="M234" i="1"/>
  <c r="M255" i="1"/>
  <c r="M254" i="1" s="1"/>
  <c r="M306" i="1"/>
  <c r="AW306" i="1"/>
  <c r="AV306" i="1" s="1"/>
  <c r="M320" i="1"/>
  <c r="AW320" i="1"/>
  <c r="AV320" i="1" s="1"/>
  <c r="M336" i="1"/>
  <c r="AW336" i="1"/>
  <c r="AV336" i="1" s="1"/>
  <c r="AL363" i="1"/>
  <c r="AL368" i="1"/>
  <c r="AL370" i="1"/>
  <c r="AL387" i="1"/>
  <c r="M393" i="1"/>
  <c r="AW393" i="1"/>
  <c r="AV393" i="1" s="1"/>
  <c r="M397" i="1"/>
  <c r="AW397" i="1"/>
  <c r="BC397" i="1" s="1"/>
  <c r="M411" i="1"/>
  <c r="AW411" i="1"/>
  <c r="AV411" i="1" s="1"/>
  <c r="M415" i="1"/>
  <c r="AW415" i="1"/>
  <c r="BC415" i="1" s="1"/>
  <c r="M419" i="1"/>
  <c r="AW419" i="1"/>
  <c r="BC419" i="1" s="1"/>
  <c r="M423" i="1"/>
  <c r="AW427" i="1"/>
  <c r="J484" i="1"/>
  <c r="M487" i="1"/>
  <c r="AT490" i="1"/>
  <c r="L12" i="1"/>
  <c r="K12" i="2" s="1"/>
  <c r="N12" i="2" s="1"/>
  <c r="M49" i="1"/>
  <c r="AS48" i="1"/>
  <c r="M87" i="1"/>
  <c r="AS86" i="1"/>
  <c r="J136" i="1"/>
  <c r="AV152" i="1"/>
  <c r="M166" i="1"/>
  <c r="J202" i="1"/>
  <c r="J212" i="1"/>
  <c r="M221" i="1"/>
  <c r="J231" i="1"/>
  <c r="L233" i="1"/>
  <c r="K39" i="2" s="1"/>
  <c r="N39" i="2" s="1"/>
  <c r="AT301" i="1"/>
  <c r="M310" i="1"/>
  <c r="AV310" i="1"/>
  <c r="M323" i="1"/>
  <c r="M339" i="1"/>
  <c r="J351" i="1"/>
  <c r="BF240" i="1"/>
  <c r="BF13" i="1"/>
  <c r="AT92" i="1"/>
  <c r="AW61" i="1"/>
  <c r="AV61" i="1" s="1"/>
  <c r="L64" i="1"/>
  <c r="K22" i="2" s="1"/>
  <c r="N22" i="2" s="1"/>
  <c r="O83" i="1"/>
  <c r="L25" i="2" s="1"/>
  <c r="K84" i="1"/>
  <c r="K83" i="1" s="1"/>
  <c r="J25" i="2" s="1"/>
  <c r="AL93" i="1"/>
  <c r="AL103" i="1"/>
  <c r="BF136" i="1"/>
  <c r="AW146" i="1"/>
  <c r="BC146" i="1" s="1"/>
  <c r="AL156" i="1"/>
  <c r="BF156" i="1"/>
  <c r="M162" i="1"/>
  <c r="AS155" i="1"/>
  <c r="AW164" i="1"/>
  <c r="M180" i="1"/>
  <c r="AT201" i="1"/>
  <c r="M205" i="1"/>
  <c r="K221" i="1"/>
  <c r="M223" i="1"/>
  <c r="AW223" i="1"/>
  <c r="AV223" i="1" s="1"/>
  <c r="J234" i="1"/>
  <c r="AW240" i="1"/>
  <c r="AV240" i="1" s="1"/>
  <c r="AW242" i="1"/>
  <c r="AV242" i="1" s="1"/>
  <c r="AW244" i="1"/>
  <c r="BC244" i="1" s="1"/>
  <c r="AW248" i="1"/>
  <c r="BC248" i="1" s="1"/>
  <c r="AW250" i="1"/>
  <c r="AV250" i="1" s="1"/>
  <c r="AW252" i="1"/>
  <c r="AV252" i="1" s="1"/>
  <c r="M318" i="1"/>
  <c r="AW318" i="1"/>
  <c r="AV318" i="1" s="1"/>
  <c r="M332" i="1"/>
  <c r="AW332" i="1"/>
  <c r="AV332" i="1" s="1"/>
  <c r="M361" i="1"/>
  <c r="AW361" i="1"/>
  <c r="BC361" i="1" s="1"/>
  <c r="K363" i="1"/>
  <c r="M365" i="1"/>
  <c r="AW365" i="1"/>
  <c r="K368" i="1"/>
  <c r="M369" i="1"/>
  <c r="AW369" i="1"/>
  <c r="BC369" i="1" s="1"/>
  <c r="K370" i="1"/>
  <c r="J378" i="1"/>
  <c r="K387" i="1"/>
  <c r="M389" i="1"/>
  <c r="AW389" i="1"/>
  <c r="AV389" i="1" s="1"/>
  <c r="AL427" i="1"/>
  <c r="AW231" i="1"/>
  <c r="AV231" i="1" s="1"/>
  <c r="AL391" i="1"/>
  <c r="M378" i="1"/>
  <c r="AW378" i="1"/>
  <c r="AV378" i="1" s="1"/>
  <c r="M371" i="1"/>
  <c r="AW371" i="1"/>
  <c r="AV371" i="1" s="1"/>
  <c r="M351" i="1"/>
  <c r="AW351" i="1"/>
  <c r="AV351" i="1" s="1"/>
  <c r="AU64" i="1"/>
  <c r="AL24" i="1"/>
  <c r="AU23" i="1" s="1"/>
  <c r="J13" i="1"/>
  <c r="J12" i="1" s="1"/>
  <c r="I12" i="2" s="1"/>
  <c r="J24" i="1"/>
  <c r="J23" i="1" s="1"/>
  <c r="I13" i="2" s="1"/>
  <c r="AW24" i="1"/>
  <c r="AV24" i="1" s="1"/>
  <c r="J31" i="1"/>
  <c r="M13" i="1"/>
  <c r="C27" i="3"/>
  <c r="BI13" i="1"/>
  <c r="AC13" i="1" s="1"/>
  <c r="K12" i="1"/>
  <c r="J12" i="2" s="1"/>
  <c r="M24" i="1"/>
  <c r="M23" i="1" s="1"/>
  <c r="BI24" i="1"/>
  <c r="AC24" i="1" s="1"/>
  <c r="K27" i="1"/>
  <c r="AL27" i="1"/>
  <c r="BI31" i="1"/>
  <c r="AC31" i="1" s="1"/>
  <c r="K35" i="1"/>
  <c r="K39" i="1"/>
  <c r="K42" i="1"/>
  <c r="AL42" i="1"/>
  <c r="AU41" i="1" s="1"/>
  <c r="K49" i="1"/>
  <c r="M51" i="1"/>
  <c r="BI51" i="1"/>
  <c r="AC51" i="1" s="1"/>
  <c r="K53" i="1"/>
  <c r="M55" i="1"/>
  <c r="BI55" i="1"/>
  <c r="AC55" i="1" s="1"/>
  <c r="K61" i="1"/>
  <c r="K60" i="1" s="1"/>
  <c r="J21" i="2" s="1"/>
  <c r="M65" i="1"/>
  <c r="BI65" i="1"/>
  <c r="AC65" i="1" s="1"/>
  <c r="K69" i="1"/>
  <c r="K64" i="1" s="1"/>
  <c r="J22" i="2" s="1"/>
  <c r="BI74" i="1"/>
  <c r="AC74" i="1" s="1"/>
  <c r="K79" i="1"/>
  <c r="K78" i="1" s="1"/>
  <c r="J24" i="2" s="1"/>
  <c r="BI84" i="1"/>
  <c r="AC84" i="1" s="1"/>
  <c r="K87" i="1"/>
  <c r="BI89" i="1"/>
  <c r="AE89" i="1" s="1"/>
  <c r="AS92" i="1"/>
  <c r="BC119" i="1"/>
  <c r="BC129" i="1"/>
  <c r="M136" i="1"/>
  <c r="M135" i="1" s="1"/>
  <c r="AW136" i="1"/>
  <c r="BC136" i="1" s="1"/>
  <c r="L139" i="1"/>
  <c r="K29" i="2" s="1"/>
  <c r="N29" i="2" s="1"/>
  <c r="J140" i="1"/>
  <c r="AL140" i="1"/>
  <c r="M156" i="1"/>
  <c r="AW158" i="1"/>
  <c r="AV158" i="1" s="1"/>
  <c r="K166" i="1"/>
  <c r="AU214" i="1"/>
  <c r="BH115" i="1"/>
  <c r="AD115" i="1" s="1"/>
  <c r="J115" i="1"/>
  <c r="BH119" i="1"/>
  <c r="AD119" i="1" s="1"/>
  <c r="J119" i="1"/>
  <c r="BH124" i="1"/>
  <c r="AD124" i="1" s="1"/>
  <c r="J124" i="1"/>
  <c r="BH129" i="1"/>
  <c r="AD129" i="1" s="1"/>
  <c r="J129" i="1"/>
  <c r="AX136" i="1"/>
  <c r="K136" i="1"/>
  <c r="BH156" i="1"/>
  <c r="AD156" i="1" s="1"/>
  <c r="AW156" i="1"/>
  <c r="AV156" i="1" s="1"/>
  <c r="J156" i="1"/>
  <c r="AL174" i="1"/>
  <c r="M174" i="1"/>
  <c r="BF93" i="1"/>
  <c r="M122" i="1"/>
  <c r="BI136" i="1"/>
  <c r="AE136" i="1" s="1"/>
  <c r="AW140" i="1"/>
  <c r="AV140" i="1" s="1"/>
  <c r="O151" i="1"/>
  <c r="L31" i="2" s="1"/>
  <c r="M164" i="1"/>
  <c r="AX164" i="1"/>
  <c r="K164" i="1"/>
  <c r="AL13" i="1"/>
  <c r="AU12" i="1" s="1"/>
  <c r="BI27" i="1"/>
  <c r="AC27" i="1" s="1"/>
  <c r="BI35" i="1"/>
  <c r="AC35" i="1" s="1"/>
  <c r="BI39" i="1"/>
  <c r="AC39" i="1" s="1"/>
  <c r="M42" i="1"/>
  <c r="M41" i="1" s="1"/>
  <c r="BI42" i="1"/>
  <c r="AC42" i="1" s="1"/>
  <c r="BI49" i="1"/>
  <c r="AC49" i="1" s="1"/>
  <c r="AL51" i="1"/>
  <c r="AU48" i="1" s="1"/>
  <c r="BI53" i="1"/>
  <c r="AC53" i="1" s="1"/>
  <c r="BI61" i="1"/>
  <c r="AC61" i="1" s="1"/>
  <c r="BI69" i="1"/>
  <c r="AC69" i="1" s="1"/>
  <c r="BI79" i="1"/>
  <c r="AC79" i="1" s="1"/>
  <c r="BI87" i="1"/>
  <c r="AE87" i="1" s="1"/>
  <c r="BC122" i="1"/>
  <c r="BH112" i="1"/>
  <c r="AD112" i="1" s="1"/>
  <c r="J112" i="1"/>
  <c r="BH117" i="1"/>
  <c r="AD117" i="1" s="1"/>
  <c r="J117" i="1"/>
  <c r="BH122" i="1"/>
  <c r="AD122" i="1" s="1"/>
  <c r="J122" i="1"/>
  <c r="BH126" i="1"/>
  <c r="AD126" i="1" s="1"/>
  <c r="J126" i="1"/>
  <c r="BH130" i="1"/>
  <c r="AD130" i="1" s="1"/>
  <c r="J130" i="1"/>
  <c r="BH174" i="1"/>
  <c r="AD174" i="1" s="1"/>
  <c r="AW174" i="1"/>
  <c r="AV174" i="1" s="1"/>
  <c r="J174" i="1"/>
  <c r="K188" i="1"/>
  <c r="C28" i="3"/>
  <c r="F28" i="3" s="1"/>
  <c r="AW13" i="1"/>
  <c r="AV13" i="1" s="1"/>
  <c r="AW31" i="1"/>
  <c r="J51" i="1"/>
  <c r="AW51" i="1"/>
  <c r="AV51" i="1" s="1"/>
  <c r="J55" i="1"/>
  <c r="AW55" i="1"/>
  <c r="AV55" i="1" s="1"/>
  <c r="J65" i="1"/>
  <c r="AW65" i="1"/>
  <c r="AV65" i="1" s="1"/>
  <c r="AW74" i="1"/>
  <c r="AV74" i="1" s="1"/>
  <c r="AW84" i="1"/>
  <c r="AV84" i="1" s="1"/>
  <c r="AW89" i="1"/>
  <c r="AV89" i="1" s="1"/>
  <c r="O143" i="1"/>
  <c r="L30" i="2" s="1"/>
  <c r="J158" i="1"/>
  <c r="J160" i="1"/>
  <c r="AS179" i="1"/>
  <c r="BI140" i="1"/>
  <c r="AE140" i="1" s="1"/>
  <c r="J166" i="1"/>
  <c r="AW166" i="1"/>
  <c r="AV166" i="1" s="1"/>
  <c r="K180" i="1"/>
  <c r="J188" i="1"/>
  <c r="AW188" i="1"/>
  <c r="K202" i="1"/>
  <c r="AL202" i="1"/>
  <c r="J205" i="1"/>
  <c r="AW205" i="1"/>
  <c r="AV205" i="1" s="1"/>
  <c r="M206" i="1"/>
  <c r="L207" i="1"/>
  <c r="K36" i="2" s="1"/>
  <c r="N36" i="2" s="1"/>
  <c r="K212" i="1"/>
  <c r="J215" i="1"/>
  <c r="AW215" i="1"/>
  <c r="BC215" i="1" s="1"/>
  <c r="M217" i="1"/>
  <c r="L220" i="1"/>
  <c r="K38" i="2" s="1"/>
  <c r="N38" i="2" s="1"/>
  <c r="K223" i="1"/>
  <c r="AL223" i="1"/>
  <c r="J225" i="1"/>
  <c r="AW225" i="1"/>
  <c r="M227" i="1"/>
  <c r="K231" i="1"/>
  <c r="AL231" i="1"/>
  <c r="K234" i="1"/>
  <c r="J240" i="1"/>
  <c r="J242" i="1"/>
  <c r="J244" i="1"/>
  <c r="J248" i="1"/>
  <c r="J250" i="1"/>
  <c r="J252" i="1"/>
  <c r="AW255" i="1"/>
  <c r="BC255" i="1" s="1"/>
  <c r="BH298" i="1"/>
  <c r="BI304" i="1"/>
  <c r="AG304" i="1" s="1"/>
  <c r="K306" i="1"/>
  <c r="M308" i="1"/>
  <c r="BI308" i="1"/>
  <c r="AG308" i="1" s="1"/>
  <c r="K310" i="1"/>
  <c r="M312" i="1"/>
  <c r="BI312" i="1"/>
  <c r="AG312" i="1" s="1"/>
  <c r="K314" i="1"/>
  <c r="M316" i="1"/>
  <c r="BI316" i="1"/>
  <c r="AG316" i="1" s="1"/>
  <c r="K318" i="1"/>
  <c r="K320" i="1"/>
  <c r="M322" i="1"/>
  <c r="BI322" i="1"/>
  <c r="AG322" i="1" s="1"/>
  <c r="K323" i="1"/>
  <c r="M325" i="1"/>
  <c r="BI325" i="1"/>
  <c r="AG325" i="1" s="1"/>
  <c r="K327" i="1"/>
  <c r="M330" i="1"/>
  <c r="BI330" i="1"/>
  <c r="AG330" i="1" s="1"/>
  <c r="K332" i="1"/>
  <c r="M334" i="1"/>
  <c r="BI334" i="1"/>
  <c r="AG334" i="1" s="1"/>
  <c r="K336" i="1"/>
  <c r="M338" i="1"/>
  <c r="BI338" i="1"/>
  <c r="AG338" i="1" s="1"/>
  <c r="K339" i="1"/>
  <c r="M342" i="1"/>
  <c r="BI342" i="1"/>
  <c r="AG342" i="1" s="1"/>
  <c r="K343" i="1"/>
  <c r="M349" i="1"/>
  <c r="BI349" i="1"/>
  <c r="AC349" i="1" s="1"/>
  <c r="K351" i="1"/>
  <c r="M353" i="1"/>
  <c r="BI353" i="1"/>
  <c r="AC353" i="1" s="1"/>
  <c r="K355" i="1"/>
  <c r="M357" i="1"/>
  <c r="BI357" i="1"/>
  <c r="AG357" i="1" s="1"/>
  <c r="K361" i="1"/>
  <c r="BI363" i="1"/>
  <c r="AC363" i="1" s="1"/>
  <c r="K365" i="1"/>
  <c r="BI368" i="1"/>
  <c r="AC368" i="1" s="1"/>
  <c r="K369" i="1"/>
  <c r="BI370" i="1"/>
  <c r="AC370" i="1" s="1"/>
  <c r="K371" i="1"/>
  <c r="BI373" i="1"/>
  <c r="AG373" i="1" s="1"/>
  <c r="K378" i="1"/>
  <c r="BI387" i="1"/>
  <c r="AC387" i="1" s="1"/>
  <c r="K389" i="1"/>
  <c r="BI391" i="1"/>
  <c r="AC391" i="1" s="1"/>
  <c r="K393" i="1"/>
  <c r="BI394" i="1"/>
  <c r="AG394" i="1" s="1"/>
  <c r="K397" i="1"/>
  <c r="BI409" i="1"/>
  <c r="AC409" i="1" s="1"/>
  <c r="K411" i="1"/>
  <c r="BI413" i="1"/>
  <c r="AC413" i="1" s="1"/>
  <c r="K415" i="1"/>
  <c r="BI417" i="1"/>
  <c r="AC417" i="1" s="1"/>
  <c r="K419" i="1"/>
  <c r="M421" i="1"/>
  <c r="AW434" i="1"/>
  <c r="AW436" i="1"/>
  <c r="AW438" i="1"/>
  <c r="AW440" i="1"/>
  <c r="AW445" i="1"/>
  <c r="AW459" i="1"/>
  <c r="AW461" i="1"/>
  <c r="AW465" i="1"/>
  <c r="AW469" i="1"/>
  <c r="AW471" i="1"/>
  <c r="AW475" i="1"/>
  <c r="AW477" i="1"/>
  <c r="AW479" i="1"/>
  <c r="AW481" i="1"/>
  <c r="AW483" i="1"/>
  <c r="AW484" i="1"/>
  <c r="AW485" i="1"/>
  <c r="AW487" i="1"/>
  <c r="K491" i="1"/>
  <c r="BH491" i="1"/>
  <c r="AF491" i="1" s="1"/>
  <c r="AX493" i="1"/>
  <c r="BH496" i="1"/>
  <c r="AF496" i="1" s="1"/>
  <c r="AX498" i="1"/>
  <c r="BH501" i="1"/>
  <c r="AF501" i="1" s="1"/>
  <c r="AX503" i="1"/>
  <c r="AV365" i="1"/>
  <c r="AV369" i="1"/>
  <c r="M434" i="1"/>
  <c r="M436" i="1"/>
  <c r="M438" i="1"/>
  <c r="M440" i="1"/>
  <c r="M445" i="1"/>
  <c r="M459" i="1"/>
  <c r="M461" i="1"/>
  <c r="M465" i="1"/>
  <c r="M469" i="1"/>
  <c r="M471" i="1"/>
  <c r="M475" i="1"/>
  <c r="M477" i="1"/>
  <c r="M479" i="1"/>
  <c r="M481" i="1"/>
  <c r="M483" i="1"/>
  <c r="M484" i="1"/>
  <c r="M485" i="1"/>
  <c r="AL206" i="1"/>
  <c r="O207" i="1"/>
  <c r="L36" i="2" s="1"/>
  <c r="L214" i="1"/>
  <c r="K37" i="2" s="1"/>
  <c r="N37" i="2" s="1"/>
  <c r="O220" i="1"/>
  <c r="L38" i="2" s="1"/>
  <c r="AL304" i="1"/>
  <c r="BI306" i="1"/>
  <c r="AC306" i="1" s="1"/>
  <c r="BI310" i="1"/>
  <c r="AC310" i="1" s="1"/>
  <c r="BI314" i="1"/>
  <c r="AG314" i="1" s="1"/>
  <c r="BI318" i="1"/>
  <c r="AG318" i="1" s="1"/>
  <c r="BI320" i="1"/>
  <c r="AG320" i="1" s="1"/>
  <c r="BI323" i="1"/>
  <c r="AG323" i="1" s="1"/>
  <c r="BI327" i="1"/>
  <c r="AG327" i="1" s="1"/>
  <c r="BI332" i="1"/>
  <c r="AG332" i="1" s="1"/>
  <c r="BI336" i="1"/>
  <c r="AG336" i="1" s="1"/>
  <c r="BI339" i="1"/>
  <c r="AG339" i="1" s="1"/>
  <c r="BI343" i="1"/>
  <c r="AG343" i="1" s="1"/>
  <c r="BI351" i="1"/>
  <c r="AC351" i="1" s="1"/>
  <c r="BI355" i="1"/>
  <c r="AC355" i="1" s="1"/>
  <c r="BI361" i="1"/>
  <c r="AC361" i="1" s="1"/>
  <c r="BI365" i="1"/>
  <c r="AG365" i="1" s="1"/>
  <c r="BI369" i="1"/>
  <c r="AC369" i="1" s="1"/>
  <c r="BI371" i="1"/>
  <c r="AC371" i="1" s="1"/>
  <c r="BI378" i="1"/>
  <c r="AC378" i="1" s="1"/>
  <c r="BI389" i="1"/>
  <c r="AG389" i="1" s="1"/>
  <c r="BI393" i="1"/>
  <c r="AC393" i="1" s="1"/>
  <c r="BI397" i="1"/>
  <c r="AG397" i="1" s="1"/>
  <c r="BI411" i="1"/>
  <c r="AC411" i="1" s="1"/>
  <c r="BI415" i="1"/>
  <c r="AC415" i="1" s="1"/>
  <c r="BI419" i="1"/>
  <c r="AC419" i="1" s="1"/>
  <c r="M491" i="1"/>
  <c r="AX491" i="1"/>
  <c r="AV491" i="1" s="1"/>
  <c r="AX496" i="1"/>
  <c r="AV496" i="1" s="1"/>
  <c r="AX501" i="1"/>
  <c r="BC501" i="1" s="1"/>
  <c r="K205" i="1"/>
  <c r="J206" i="1"/>
  <c r="AW206" i="1"/>
  <c r="AV206" i="1" s="1"/>
  <c r="K215" i="1"/>
  <c r="K214" i="1" s="1"/>
  <c r="J37" i="2" s="1"/>
  <c r="J217" i="1"/>
  <c r="AW217" i="1"/>
  <c r="AV217" i="1" s="1"/>
  <c r="K225" i="1"/>
  <c r="J227" i="1"/>
  <c r="AW227" i="1"/>
  <c r="AV227" i="1" s="1"/>
  <c r="L254" i="1"/>
  <c r="K40" i="2" s="1"/>
  <c r="N40" i="2" s="1"/>
  <c r="J255" i="1"/>
  <c r="J254" i="1" s="1"/>
  <c r="I40" i="2" s="1"/>
  <c r="AS256" i="1"/>
  <c r="AX298" i="1"/>
  <c r="J304" i="1"/>
  <c r="AW304" i="1"/>
  <c r="AV304" i="1" s="1"/>
  <c r="J308" i="1"/>
  <c r="AW308" i="1"/>
  <c r="AV308" i="1" s="1"/>
  <c r="J312" i="1"/>
  <c r="AW312" i="1"/>
  <c r="AV312" i="1" s="1"/>
  <c r="J316" i="1"/>
  <c r="AW316" i="1"/>
  <c r="AV316" i="1" s="1"/>
  <c r="J322" i="1"/>
  <c r="AW322" i="1"/>
  <c r="AV322" i="1" s="1"/>
  <c r="J325" i="1"/>
  <c r="AW325" i="1"/>
  <c r="AV325" i="1" s="1"/>
  <c r="J330" i="1"/>
  <c r="AW330" i="1"/>
  <c r="AV330" i="1" s="1"/>
  <c r="J334" i="1"/>
  <c r="AW334" i="1"/>
  <c r="AV334" i="1" s="1"/>
  <c r="J338" i="1"/>
  <c r="AW338" i="1"/>
  <c r="AV338" i="1" s="1"/>
  <c r="J342" i="1"/>
  <c r="AW342" i="1"/>
  <c r="AV342" i="1" s="1"/>
  <c r="J349" i="1"/>
  <c r="AW349" i="1"/>
  <c r="AV349" i="1" s="1"/>
  <c r="J353" i="1"/>
  <c r="AW353" i="1"/>
  <c r="AV353" i="1" s="1"/>
  <c r="J357" i="1"/>
  <c r="AW357" i="1"/>
  <c r="AV357" i="1" s="1"/>
  <c r="J363" i="1"/>
  <c r="AW363" i="1"/>
  <c r="AV363" i="1" s="1"/>
  <c r="J368" i="1"/>
  <c r="AW368" i="1"/>
  <c r="AV368" i="1" s="1"/>
  <c r="J370" i="1"/>
  <c r="AW370" i="1"/>
  <c r="AV370" i="1" s="1"/>
  <c r="J373" i="1"/>
  <c r="AW373" i="1"/>
  <c r="AV373" i="1" s="1"/>
  <c r="J387" i="1"/>
  <c r="AW387" i="1"/>
  <c r="AV387" i="1" s="1"/>
  <c r="J391" i="1"/>
  <c r="AW391" i="1"/>
  <c r="AV391" i="1" s="1"/>
  <c r="J394" i="1"/>
  <c r="AW394" i="1"/>
  <c r="AV394" i="1" s="1"/>
  <c r="J409" i="1"/>
  <c r="AW409" i="1"/>
  <c r="AV409" i="1" s="1"/>
  <c r="J413" i="1"/>
  <c r="AW413" i="1"/>
  <c r="AV413" i="1" s="1"/>
  <c r="J417" i="1"/>
  <c r="AW417" i="1"/>
  <c r="AV417" i="1" s="1"/>
  <c r="AW423" i="1"/>
  <c r="J434" i="1"/>
  <c r="J436" i="1"/>
  <c r="J438" i="1"/>
  <c r="J440" i="1"/>
  <c r="J445" i="1"/>
  <c r="J459" i="1"/>
  <c r="J461" i="1"/>
  <c r="J465" i="1"/>
  <c r="J469" i="1"/>
  <c r="J471" i="1"/>
  <c r="J475" i="1"/>
  <c r="J477" i="1"/>
  <c r="J479" i="1"/>
  <c r="J481" i="1"/>
  <c r="J483" i="1"/>
  <c r="AL162" i="1"/>
  <c r="AW162" i="1"/>
  <c r="BC162" i="1" s="1"/>
  <c r="AW160" i="1"/>
  <c r="AV160" i="1" s="1"/>
  <c r="BC55" i="1"/>
  <c r="BC61" i="1"/>
  <c r="BC65" i="1"/>
  <c r="BC69" i="1"/>
  <c r="BC79" i="1"/>
  <c r="K93" i="1"/>
  <c r="BI93" i="1"/>
  <c r="AE93" i="1" s="1"/>
  <c r="K97" i="1"/>
  <c r="BI97" i="1"/>
  <c r="AE97" i="1" s="1"/>
  <c r="K103" i="1"/>
  <c r="AV103" i="1"/>
  <c r="BI103" i="1"/>
  <c r="AE103" i="1" s="1"/>
  <c r="K112" i="1"/>
  <c r="BI112" i="1"/>
  <c r="AE112" i="1" s="1"/>
  <c r="K115" i="1"/>
  <c r="BI115" i="1"/>
  <c r="AE115" i="1" s="1"/>
  <c r="K117" i="1"/>
  <c r="BI117" i="1"/>
  <c r="AE117" i="1" s="1"/>
  <c r="K119" i="1"/>
  <c r="AV119" i="1"/>
  <c r="BI119" i="1"/>
  <c r="AE119" i="1" s="1"/>
  <c r="K122" i="1"/>
  <c r="AV122" i="1"/>
  <c r="BI122" i="1"/>
  <c r="AE122" i="1" s="1"/>
  <c r="K124" i="1"/>
  <c r="BI124" i="1"/>
  <c r="AE124" i="1" s="1"/>
  <c r="K126" i="1"/>
  <c r="BI126" i="1"/>
  <c r="AE126" i="1" s="1"/>
  <c r="K129" i="1"/>
  <c r="AV129" i="1"/>
  <c r="BI129" i="1"/>
  <c r="AE129" i="1" s="1"/>
  <c r="K130" i="1"/>
  <c r="BI130" i="1"/>
  <c r="AE130" i="1" s="1"/>
  <c r="K144" i="1"/>
  <c r="BI144" i="1"/>
  <c r="AE144" i="1" s="1"/>
  <c r="K146" i="1"/>
  <c r="BI146" i="1"/>
  <c r="AE146" i="1" s="1"/>
  <c r="AV199" i="1"/>
  <c r="AV225" i="1"/>
  <c r="BI152" i="1"/>
  <c r="AE152" i="1" s="1"/>
  <c r="BC156" i="1"/>
  <c r="BI156" i="1"/>
  <c r="AE156" i="1" s="1"/>
  <c r="BI158" i="1"/>
  <c r="AE158" i="1" s="1"/>
  <c r="BI160" i="1"/>
  <c r="AE160" i="1" s="1"/>
  <c r="BI162" i="1"/>
  <c r="AE162" i="1" s="1"/>
  <c r="BI164" i="1"/>
  <c r="AE164" i="1" s="1"/>
  <c r="BI166" i="1"/>
  <c r="AE166" i="1" s="1"/>
  <c r="BI174" i="1"/>
  <c r="AE174" i="1" s="1"/>
  <c r="BI180" i="1"/>
  <c r="AE180" i="1" s="1"/>
  <c r="BI188" i="1"/>
  <c r="AE188" i="1" s="1"/>
  <c r="BI199" i="1"/>
  <c r="AC199" i="1" s="1"/>
  <c r="BI202" i="1"/>
  <c r="AC202" i="1" s="1"/>
  <c r="BC205" i="1"/>
  <c r="BI205" i="1"/>
  <c r="AC205" i="1" s="1"/>
  <c r="BI206" i="1"/>
  <c r="AC206" i="1" s="1"/>
  <c r="BI208" i="1"/>
  <c r="AC208" i="1" s="1"/>
  <c r="BI212" i="1"/>
  <c r="AC212" i="1" s="1"/>
  <c r="BI215" i="1"/>
  <c r="AC215" i="1" s="1"/>
  <c r="BI217" i="1"/>
  <c r="AC217" i="1" s="1"/>
  <c r="BI221" i="1"/>
  <c r="AC221" i="1" s="1"/>
  <c r="BI223" i="1"/>
  <c r="AC223" i="1" s="1"/>
  <c r="BC225" i="1"/>
  <c r="BI225" i="1"/>
  <c r="AC225" i="1" s="1"/>
  <c r="BI227" i="1"/>
  <c r="AC227" i="1" s="1"/>
  <c r="BI229" i="1"/>
  <c r="AC229" i="1" s="1"/>
  <c r="BI231" i="1"/>
  <c r="AC231" i="1" s="1"/>
  <c r="AX421" i="1"/>
  <c r="BI421" i="1"/>
  <c r="AC421" i="1" s="1"/>
  <c r="AX434" i="1"/>
  <c r="BI434" i="1"/>
  <c r="AG434" i="1" s="1"/>
  <c r="K434" i="1"/>
  <c r="AX436" i="1"/>
  <c r="BI436" i="1"/>
  <c r="AC436" i="1" s="1"/>
  <c r="K436" i="1"/>
  <c r="AX438" i="1"/>
  <c r="BI438" i="1"/>
  <c r="AG438" i="1" s="1"/>
  <c r="K438" i="1"/>
  <c r="AX440" i="1"/>
  <c r="BI440" i="1"/>
  <c r="AC440" i="1" s="1"/>
  <c r="K440" i="1"/>
  <c r="AX445" i="1"/>
  <c r="BI445" i="1"/>
  <c r="AG445" i="1" s="1"/>
  <c r="K445" i="1"/>
  <c r="AX459" i="1"/>
  <c r="BI459" i="1"/>
  <c r="AC459" i="1" s="1"/>
  <c r="K459" i="1"/>
  <c r="AX461" i="1"/>
  <c r="BI461" i="1"/>
  <c r="AC461" i="1" s="1"/>
  <c r="K461" i="1"/>
  <c r="AX465" i="1"/>
  <c r="BI465" i="1"/>
  <c r="AC465" i="1" s="1"/>
  <c r="K465" i="1"/>
  <c r="AX469" i="1"/>
  <c r="BI469" i="1"/>
  <c r="AC469" i="1" s="1"/>
  <c r="K469" i="1"/>
  <c r="AX471" i="1"/>
  <c r="BI471" i="1"/>
  <c r="AC471" i="1" s="1"/>
  <c r="K471" i="1"/>
  <c r="AX475" i="1"/>
  <c r="BC475" i="1" s="1"/>
  <c r="BI475" i="1"/>
  <c r="AC475" i="1" s="1"/>
  <c r="K475" i="1"/>
  <c r="AX477" i="1"/>
  <c r="BI477" i="1"/>
  <c r="AC477" i="1" s="1"/>
  <c r="K477" i="1"/>
  <c r="AX479" i="1"/>
  <c r="BI479" i="1"/>
  <c r="AC479" i="1" s="1"/>
  <c r="K479" i="1"/>
  <c r="AX481" i="1"/>
  <c r="BI481" i="1"/>
  <c r="AC481" i="1" s="1"/>
  <c r="K481" i="1"/>
  <c r="AX483" i="1"/>
  <c r="BI483" i="1"/>
  <c r="AG483" i="1" s="1"/>
  <c r="K483" i="1"/>
  <c r="AX484" i="1"/>
  <c r="BI484" i="1"/>
  <c r="AG484" i="1" s="1"/>
  <c r="K484" i="1"/>
  <c r="AX485" i="1"/>
  <c r="BI485" i="1"/>
  <c r="AG485" i="1" s="1"/>
  <c r="K485" i="1"/>
  <c r="AX487" i="1"/>
  <c r="BI487" i="1"/>
  <c r="AG487" i="1" s="1"/>
  <c r="K487" i="1"/>
  <c r="AW234" i="1"/>
  <c r="BI234" i="1"/>
  <c r="AC234" i="1" s="1"/>
  <c r="K240" i="1"/>
  <c r="BI240" i="1"/>
  <c r="AC240" i="1" s="1"/>
  <c r="K242" i="1"/>
  <c r="BI242" i="1"/>
  <c r="AC242" i="1" s="1"/>
  <c r="K244" i="1"/>
  <c r="BI244" i="1"/>
  <c r="AC244" i="1" s="1"/>
  <c r="K248" i="1"/>
  <c r="BI248" i="1"/>
  <c r="AC248" i="1" s="1"/>
  <c r="K250" i="1"/>
  <c r="BI250" i="1"/>
  <c r="AC250" i="1" s="1"/>
  <c r="K252" i="1"/>
  <c r="BI252" i="1"/>
  <c r="AC252" i="1" s="1"/>
  <c r="K255" i="1"/>
  <c r="K254" i="1" s="1"/>
  <c r="J40" i="2" s="1"/>
  <c r="BI255" i="1"/>
  <c r="AC255" i="1" s="1"/>
  <c r="BI298" i="1"/>
  <c r="BC343" i="1"/>
  <c r="BC351" i="1"/>
  <c r="BC365" i="1"/>
  <c r="BC371" i="1"/>
  <c r="AX423" i="1"/>
  <c r="BI423" i="1"/>
  <c r="AC423" i="1" s="1"/>
  <c r="K423" i="1"/>
  <c r="AX425" i="1"/>
  <c r="BI425" i="1"/>
  <c r="AC425" i="1" s="1"/>
  <c r="K425" i="1"/>
  <c r="AX427" i="1"/>
  <c r="BC427" i="1" s="1"/>
  <c r="BI427" i="1"/>
  <c r="AC427" i="1" s="1"/>
  <c r="K427" i="1"/>
  <c r="AX429" i="1"/>
  <c r="BI429" i="1"/>
  <c r="AC429" i="1" s="1"/>
  <c r="K429" i="1"/>
  <c r="BF493" i="1"/>
  <c r="O490" i="1"/>
  <c r="AW493" i="1"/>
  <c r="BH493" i="1"/>
  <c r="AF493" i="1" s="1"/>
  <c r="J493" i="1"/>
  <c r="AW498" i="1"/>
  <c r="BH498" i="1"/>
  <c r="AF498" i="1" s="1"/>
  <c r="J498" i="1"/>
  <c r="AW503" i="1"/>
  <c r="BH503" i="1"/>
  <c r="AF503" i="1" s="1"/>
  <c r="J503" i="1"/>
  <c r="AW421" i="1"/>
  <c r="AL496" i="1"/>
  <c r="M496" i="1"/>
  <c r="L490" i="1"/>
  <c r="K45" i="2" s="1"/>
  <c r="N45" i="2" s="1"/>
  <c r="AL501" i="1"/>
  <c r="M501" i="1"/>
  <c r="AL493" i="1"/>
  <c r="M493" i="1"/>
  <c r="AL498" i="1"/>
  <c r="M498" i="1"/>
  <c r="AL503" i="1"/>
  <c r="M503" i="1"/>
  <c r="BC425" i="1" l="1"/>
  <c r="BC438" i="1"/>
  <c r="AV248" i="1"/>
  <c r="K207" i="1"/>
  <c r="J36" i="2" s="1"/>
  <c r="BC389" i="1"/>
  <c r="AV87" i="1"/>
  <c r="BC314" i="1"/>
  <c r="BC206" i="1"/>
  <c r="AV144" i="1"/>
  <c r="K490" i="1"/>
  <c r="J45" i="2" s="1"/>
  <c r="BC202" i="1"/>
  <c r="BC250" i="1"/>
  <c r="BC242" i="1"/>
  <c r="BC496" i="1"/>
  <c r="BC304" i="1"/>
  <c r="AV397" i="1"/>
  <c r="AV244" i="1"/>
  <c r="BC252" i="1"/>
  <c r="BC461" i="1"/>
  <c r="BC323" i="1"/>
  <c r="BC306" i="1"/>
  <c r="BC84" i="1"/>
  <c r="AV146" i="1"/>
  <c r="AV419" i="1"/>
  <c r="BC355" i="1"/>
  <c r="AV415" i="1"/>
  <c r="M214" i="1"/>
  <c r="AV49" i="1"/>
  <c r="AV255" i="1"/>
  <c r="BC221" i="1"/>
  <c r="BC240" i="1"/>
  <c r="J64" i="1"/>
  <c r="I22" i="2" s="1"/>
  <c r="BC339" i="1"/>
  <c r="AV229" i="1"/>
  <c r="BC53" i="1"/>
  <c r="AV501" i="1"/>
  <c r="BC336" i="1"/>
  <c r="BC180" i="1"/>
  <c r="BC332" i="1"/>
  <c r="BC42" i="1"/>
  <c r="M142" i="1"/>
  <c r="M139" i="1" s="1"/>
  <c r="BC394" i="1"/>
  <c r="BC327" i="1"/>
  <c r="BC208" i="1"/>
  <c r="BC24" i="1"/>
  <c r="BC393" i="1"/>
  <c r="J26" i="1"/>
  <c r="I14" i="2" s="1"/>
  <c r="BC363" i="1"/>
  <c r="BC334" i="1"/>
  <c r="BC212" i="1"/>
  <c r="J207" i="1"/>
  <c r="I36" i="2" s="1"/>
  <c r="AV164" i="1"/>
  <c r="AU139" i="1"/>
  <c r="M64" i="1"/>
  <c r="AW35" i="1"/>
  <c r="BC31" i="1"/>
  <c r="BC436" i="1"/>
  <c r="BC483" i="1"/>
  <c r="AV31" i="1"/>
  <c r="AX117" i="1"/>
  <c r="BC117" i="1" s="1"/>
  <c r="BH31" i="1"/>
  <c r="AB31" i="1" s="1"/>
  <c r="AW130" i="1"/>
  <c r="AX126" i="1"/>
  <c r="AW112" i="1"/>
  <c r="O126" i="1"/>
  <c r="BC51" i="1"/>
  <c r="BC459" i="1"/>
  <c r="BC481" i="1"/>
  <c r="BC471" i="1"/>
  <c r="BC487" i="1"/>
  <c r="BC115" i="1"/>
  <c r="AV115" i="1"/>
  <c r="AX47" i="1"/>
  <c r="L130" i="1"/>
  <c r="BJ130" i="1"/>
  <c r="O130" i="1"/>
  <c r="BF130" i="1" s="1"/>
  <c r="L117" i="1"/>
  <c r="BJ117" i="1"/>
  <c r="O117" i="1"/>
  <c r="BF117" i="1" s="1"/>
  <c r="K31" i="1"/>
  <c r="K26" i="1" s="1"/>
  <c r="J14" i="2" s="1"/>
  <c r="L31" i="1"/>
  <c r="BJ31" i="1"/>
  <c r="O31" i="1"/>
  <c r="BH35" i="1"/>
  <c r="AB35" i="1" s="1"/>
  <c r="BJ115" i="1"/>
  <c r="O115" i="1"/>
  <c r="BF115" i="1" s="1"/>
  <c r="L115" i="1"/>
  <c r="L112" i="1"/>
  <c r="BJ112" i="1"/>
  <c r="O112" i="1"/>
  <c r="BF112" i="1" s="1"/>
  <c r="AW142" i="1"/>
  <c r="BJ126" i="1"/>
  <c r="AW126" i="1"/>
  <c r="L126" i="1"/>
  <c r="AX124" i="1"/>
  <c r="AV124" i="1" s="1"/>
  <c r="L124" i="1"/>
  <c r="BJ124" i="1"/>
  <c r="O124" i="1"/>
  <c r="BF124" i="1" s="1"/>
  <c r="AV97" i="1"/>
  <c r="BH97" i="1"/>
  <c r="AD97" i="1" s="1"/>
  <c r="BC97" i="1"/>
  <c r="BJ97" i="1"/>
  <c r="O97" i="1"/>
  <c r="L97" i="1"/>
  <c r="AV93" i="1"/>
  <c r="BH188" i="1"/>
  <c r="AD188" i="1" s="1"/>
  <c r="AX188" i="1"/>
  <c r="AV188" i="1" s="1"/>
  <c r="BC166" i="1"/>
  <c r="BH39" i="1"/>
  <c r="AB39" i="1" s="1"/>
  <c r="AW39" i="1"/>
  <c r="AX39" i="1"/>
  <c r="BJ47" i="1"/>
  <c r="L39" i="1"/>
  <c r="BJ39" i="1"/>
  <c r="O39" i="1"/>
  <c r="BJ35" i="1"/>
  <c r="O35" i="1"/>
  <c r="L35" i="1"/>
  <c r="AX35" i="1"/>
  <c r="BC35" i="1" s="1"/>
  <c r="BC387" i="1"/>
  <c r="BC325" i="1"/>
  <c r="BC353" i="1"/>
  <c r="BC413" i="1"/>
  <c r="BC370" i="1"/>
  <c r="BC342" i="1"/>
  <c r="M207" i="1"/>
  <c r="L19" i="2"/>
  <c r="AV469" i="1"/>
  <c r="BC318" i="1"/>
  <c r="BC13" i="1"/>
  <c r="BC320" i="1"/>
  <c r="AV485" i="1"/>
  <c r="AV479" i="1"/>
  <c r="AV445" i="1"/>
  <c r="AV434" i="1"/>
  <c r="BC231" i="1"/>
  <c r="BC227" i="1"/>
  <c r="BC223" i="1"/>
  <c r="BC174" i="1"/>
  <c r="BC164" i="1"/>
  <c r="BC158" i="1"/>
  <c r="BC140" i="1"/>
  <c r="M220" i="1"/>
  <c r="AV438" i="1"/>
  <c r="BC378" i="1"/>
  <c r="AV361" i="1"/>
  <c r="BC429" i="1"/>
  <c r="AV475" i="1"/>
  <c r="BC312" i="1"/>
  <c r="BC27" i="1"/>
  <c r="M201" i="1"/>
  <c r="J142" i="1"/>
  <c r="J139" i="1" s="1"/>
  <c r="I29" i="2" s="1"/>
  <c r="AV461" i="1"/>
  <c r="A137" i="1"/>
  <c r="A138" i="1" s="1"/>
  <c r="A140" i="1" s="1"/>
  <c r="A142" i="1" s="1"/>
  <c r="A144" i="1" s="1"/>
  <c r="A146" i="1" s="1"/>
  <c r="K41" i="1"/>
  <c r="J17" i="2" s="1"/>
  <c r="BJ138" i="1"/>
  <c r="Z138" i="1" s="1"/>
  <c r="AO138" i="1"/>
  <c r="L138" i="1"/>
  <c r="AP138" i="1"/>
  <c r="BD138" i="1"/>
  <c r="J41" i="1"/>
  <c r="I17" i="2" s="1"/>
  <c r="BJ188" i="1"/>
  <c r="O188" i="1"/>
  <c r="L188" i="1"/>
  <c r="BC411" i="1"/>
  <c r="L37" i="2"/>
  <c r="M233" i="1"/>
  <c r="BC423" i="1"/>
  <c r="AX142" i="1"/>
  <c r="K142" i="1"/>
  <c r="K139" i="1" s="1"/>
  <c r="J29" i="2" s="1"/>
  <c r="BC74" i="1"/>
  <c r="AO150" i="1"/>
  <c r="AP150" i="1"/>
  <c r="L150" i="1"/>
  <c r="BD150" i="1"/>
  <c r="BJ150" i="1"/>
  <c r="Z150" i="1" s="1"/>
  <c r="BJ91" i="1"/>
  <c r="Z91" i="1" s="1"/>
  <c r="AO91" i="1"/>
  <c r="L91" i="1"/>
  <c r="AP91" i="1"/>
  <c r="BD91" i="1"/>
  <c r="BJ154" i="1"/>
  <c r="Z154" i="1" s="1"/>
  <c r="AO154" i="1"/>
  <c r="AP154" i="1"/>
  <c r="L154" i="1"/>
  <c r="BD154" i="1"/>
  <c r="BC484" i="1"/>
  <c r="BC477" i="1"/>
  <c r="BC465" i="1"/>
  <c r="BC440" i="1"/>
  <c r="M12" i="1"/>
  <c r="AV483" i="1"/>
  <c r="AV429" i="1"/>
  <c r="J220" i="1"/>
  <c r="I38" i="2" s="1"/>
  <c r="AP178" i="1"/>
  <c r="BD178" i="1"/>
  <c r="BJ178" i="1"/>
  <c r="Z178" i="1" s="1"/>
  <c r="L178" i="1"/>
  <c r="AO178" i="1"/>
  <c r="BD488" i="1"/>
  <c r="L488" i="1"/>
  <c r="BJ488" i="1"/>
  <c r="AO488" i="1"/>
  <c r="AP488" i="1"/>
  <c r="AU201" i="1"/>
  <c r="AV425" i="1"/>
  <c r="AV427" i="1"/>
  <c r="AV162" i="1"/>
  <c r="AV423" i="1"/>
  <c r="J48" i="1"/>
  <c r="I19" i="2" s="1"/>
  <c r="BD489" i="1"/>
  <c r="L489" i="1"/>
  <c r="BJ489" i="1"/>
  <c r="AO489" i="1"/>
  <c r="AP489" i="1"/>
  <c r="J233" i="1"/>
  <c r="I39" i="2" s="1"/>
  <c r="K201" i="1"/>
  <c r="J35" i="2" s="1"/>
  <c r="AU220" i="1"/>
  <c r="L45" i="2"/>
  <c r="AV481" i="1"/>
  <c r="AV436" i="1"/>
  <c r="AV471" i="1"/>
  <c r="BC434" i="1"/>
  <c r="BC217" i="1"/>
  <c r="K48" i="1"/>
  <c r="J19" i="2" s="1"/>
  <c r="BC160" i="1"/>
  <c r="AV215" i="1"/>
  <c r="J201" i="1"/>
  <c r="I35" i="2" s="1"/>
  <c r="M48" i="1"/>
  <c r="BJ431" i="1"/>
  <c r="AO431" i="1"/>
  <c r="AP431" i="1"/>
  <c r="BD431" i="1"/>
  <c r="L431" i="1"/>
  <c r="BJ432" i="1"/>
  <c r="AO432" i="1"/>
  <c r="AP432" i="1"/>
  <c r="BD432" i="1"/>
  <c r="L432" i="1"/>
  <c r="O298" i="1"/>
  <c r="AW298" i="1"/>
  <c r="AV298" i="1" s="1"/>
  <c r="J298" i="1"/>
  <c r="K298" i="1"/>
  <c r="BJ298" i="1"/>
  <c r="Z298" i="1" s="1"/>
  <c r="L298" i="1"/>
  <c r="BC491" i="1"/>
  <c r="AV487" i="1"/>
  <c r="AV459" i="1"/>
  <c r="BC485" i="1"/>
  <c r="BC479" i="1"/>
  <c r="BC469" i="1"/>
  <c r="BC445" i="1"/>
  <c r="AV484" i="1"/>
  <c r="AV477" i="1"/>
  <c r="AV465" i="1"/>
  <c r="AV440" i="1"/>
  <c r="BC417" i="1"/>
  <c r="BC409" i="1"/>
  <c r="BC391" i="1"/>
  <c r="BC373" i="1"/>
  <c r="BC368" i="1"/>
  <c r="BC357" i="1"/>
  <c r="BC349" i="1"/>
  <c r="BC338" i="1"/>
  <c r="BC330" i="1"/>
  <c r="BC322" i="1"/>
  <c r="BC316" i="1"/>
  <c r="BC308" i="1"/>
  <c r="BC89" i="1"/>
  <c r="K220" i="1"/>
  <c r="J38" i="2" s="1"/>
  <c r="J214" i="1"/>
  <c r="I37" i="2" s="1"/>
  <c r="AV136" i="1"/>
  <c r="M490" i="1"/>
  <c r="J490" i="1"/>
  <c r="I45" i="2" s="1"/>
  <c r="BC503" i="1"/>
  <c r="AV503" i="1"/>
  <c r="BC493" i="1"/>
  <c r="AV493" i="1"/>
  <c r="AU490" i="1"/>
  <c r="AV421" i="1"/>
  <c r="BC421" i="1"/>
  <c r="BC498" i="1"/>
  <c r="AV498" i="1"/>
  <c r="K233" i="1"/>
  <c r="J39" i="2" s="1"/>
  <c r="AV234" i="1"/>
  <c r="BC234" i="1"/>
  <c r="O193" i="1" l="1"/>
  <c r="BF193" i="1" s="1"/>
  <c r="L47" i="1"/>
  <c r="L46" i="1" s="1"/>
  <c r="K18" i="2" s="1"/>
  <c r="N18" i="2" s="1"/>
  <c r="BF126" i="1"/>
  <c r="K47" i="1"/>
  <c r="K46" i="1" s="1"/>
  <c r="J18" i="2" s="1"/>
  <c r="O47" i="1"/>
  <c r="BF47" i="1" s="1"/>
  <c r="AV117" i="1"/>
  <c r="AV130" i="1"/>
  <c r="BC130" i="1"/>
  <c r="AV112" i="1"/>
  <c r="BC112" i="1"/>
  <c r="BC188" i="1"/>
  <c r="K193" i="1"/>
  <c r="K179" i="1" s="1"/>
  <c r="J33" i="2" s="1"/>
  <c r="L193" i="1"/>
  <c r="M193" i="1" s="1"/>
  <c r="BJ193" i="1"/>
  <c r="J193" i="1"/>
  <c r="J179" i="1" s="1"/>
  <c r="I33" i="2" s="1"/>
  <c r="AX193" i="1"/>
  <c r="AL112" i="1"/>
  <c r="M112" i="1"/>
  <c r="BF31" i="1"/>
  <c r="O26" i="1"/>
  <c r="L14" i="2" s="1"/>
  <c r="AL117" i="1"/>
  <c r="M117" i="1"/>
  <c r="AL130" i="1"/>
  <c r="M130" i="1"/>
  <c r="AL115" i="1"/>
  <c r="M115" i="1"/>
  <c r="AL31" i="1"/>
  <c r="AU26" i="1" s="1"/>
  <c r="M31" i="1"/>
  <c r="M26" i="1" s="1"/>
  <c r="L26" i="1"/>
  <c r="K14" i="2" s="1"/>
  <c r="N14" i="2" s="1"/>
  <c r="BH47" i="1"/>
  <c r="AB47" i="1" s="1"/>
  <c r="AW47" i="1"/>
  <c r="BC47" i="1" s="1"/>
  <c r="J47" i="1"/>
  <c r="J46" i="1" s="1"/>
  <c r="I18" i="2" s="1"/>
  <c r="BI47" i="1"/>
  <c r="AC47" i="1" s="1"/>
  <c r="AV126" i="1"/>
  <c r="BC126" i="1"/>
  <c r="AL126" i="1"/>
  <c r="M126" i="1"/>
  <c r="BC124" i="1"/>
  <c r="AL124" i="1"/>
  <c r="M124" i="1"/>
  <c r="AL97" i="1"/>
  <c r="M97" i="1"/>
  <c r="O92" i="1"/>
  <c r="L27" i="2" s="1"/>
  <c r="BF97" i="1"/>
  <c r="BI193" i="1"/>
  <c r="AE193" i="1" s="1"/>
  <c r="AW193" i="1"/>
  <c r="BH193" i="1"/>
  <c r="AD193" i="1" s="1"/>
  <c r="AV39" i="1"/>
  <c r="BC39" i="1"/>
  <c r="AL35" i="1"/>
  <c r="M35" i="1"/>
  <c r="K40" i="1"/>
  <c r="K38" i="1" s="1"/>
  <c r="J16" i="2" s="1"/>
  <c r="L40" i="1"/>
  <c r="L38" i="1" s="1"/>
  <c r="K16" i="2" s="1"/>
  <c r="N16" i="2" s="1"/>
  <c r="BJ40" i="1"/>
  <c r="O40" i="1"/>
  <c r="BF40" i="1" s="1"/>
  <c r="AX40" i="1"/>
  <c r="BI40" i="1"/>
  <c r="AC40" i="1" s="1"/>
  <c r="AW40" i="1"/>
  <c r="BH40" i="1"/>
  <c r="AB40" i="1" s="1"/>
  <c r="J40" i="1"/>
  <c r="J38" i="1" s="1"/>
  <c r="I16" i="2" s="1"/>
  <c r="M39" i="1"/>
  <c r="AL39" i="1"/>
  <c r="AV35" i="1"/>
  <c r="BF35" i="1"/>
  <c r="BF39" i="1"/>
  <c r="BJ300" i="1"/>
  <c r="Z300" i="1" s="1"/>
  <c r="L300" i="1"/>
  <c r="O300" i="1"/>
  <c r="J300" i="1"/>
  <c r="J299" i="1" s="1"/>
  <c r="I42" i="2" s="1"/>
  <c r="BH300" i="1"/>
  <c r="K300" i="1"/>
  <c r="K299" i="1" s="1"/>
  <c r="J42" i="2" s="1"/>
  <c r="BI300" i="1"/>
  <c r="AX300" i="1"/>
  <c r="AW300" i="1"/>
  <c r="A148" i="1"/>
  <c r="A150" i="1" s="1"/>
  <c r="A152" i="1" s="1"/>
  <c r="A154" i="1" s="1"/>
  <c r="A156" i="1" s="1"/>
  <c r="A158" i="1" s="1"/>
  <c r="A160" i="1" s="1"/>
  <c r="A162" i="1" s="1"/>
  <c r="A164" i="1" s="1"/>
  <c r="A166" i="1" s="1"/>
  <c r="AL188" i="1"/>
  <c r="M188" i="1"/>
  <c r="BH138" i="1"/>
  <c r="J138" i="1"/>
  <c r="J135" i="1" s="1"/>
  <c r="I28" i="2" s="1"/>
  <c r="AW138" i="1"/>
  <c r="AL138" i="1"/>
  <c r="M138" i="1"/>
  <c r="L135" i="1"/>
  <c r="K28" i="2" s="1"/>
  <c r="N28" i="2" s="1"/>
  <c r="AX138" i="1"/>
  <c r="BI138" i="1"/>
  <c r="K138" i="1"/>
  <c r="K135" i="1" s="1"/>
  <c r="J28" i="2" s="1"/>
  <c r="BF188" i="1"/>
  <c r="O179" i="1"/>
  <c r="L33" i="2" s="1"/>
  <c r="L301" i="1"/>
  <c r="AX91" i="1"/>
  <c r="K91" i="1"/>
  <c r="K86" i="1" s="1"/>
  <c r="J26" i="2" s="1"/>
  <c r="BI91" i="1"/>
  <c r="BH150" i="1"/>
  <c r="J150" i="1"/>
  <c r="J143" i="1" s="1"/>
  <c r="I30" i="2" s="1"/>
  <c r="AW150" i="1"/>
  <c r="BH154" i="1"/>
  <c r="AW154" i="1"/>
  <c r="J154" i="1"/>
  <c r="J151" i="1" s="1"/>
  <c r="I31" i="2" s="1"/>
  <c r="K150" i="1"/>
  <c r="K143" i="1" s="1"/>
  <c r="J30" i="2" s="1"/>
  <c r="BI150" i="1"/>
  <c r="AX150" i="1"/>
  <c r="BC142" i="1"/>
  <c r="AV142" i="1"/>
  <c r="AX154" i="1"/>
  <c r="BI154" i="1"/>
  <c r="K154" i="1"/>
  <c r="K151" i="1" s="1"/>
  <c r="J31" i="2" s="1"/>
  <c r="BH91" i="1"/>
  <c r="J91" i="1"/>
  <c r="J86" i="1" s="1"/>
  <c r="I26" i="2" s="1"/>
  <c r="AW91" i="1"/>
  <c r="AL150" i="1"/>
  <c r="AU143" i="1" s="1"/>
  <c r="L143" i="1"/>
  <c r="M150" i="1"/>
  <c r="M143" i="1" s="1"/>
  <c r="AL154" i="1"/>
  <c r="AU151" i="1" s="1"/>
  <c r="M154" i="1"/>
  <c r="M151" i="1" s="1"/>
  <c r="L151" i="1"/>
  <c r="K31" i="2" s="1"/>
  <c r="N31" i="2" s="1"/>
  <c r="AL91" i="1"/>
  <c r="AU86" i="1" s="1"/>
  <c r="M91" i="1"/>
  <c r="M86" i="1" s="1"/>
  <c r="L86" i="1"/>
  <c r="K26" i="2" s="1"/>
  <c r="N26" i="2" s="1"/>
  <c r="AL489" i="1"/>
  <c r="M489" i="1"/>
  <c r="BH489" i="1"/>
  <c r="AB489" i="1" s="1"/>
  <c r="J489" i="1"/>
  <c r="AW489" i="1"/>
  <c r="AL178" i="1"/>
  <c r="AU155" i="1" s="1"/>
  <c r="M178" i="1"/>
  <c r="M155" i="1" s="1"/>
  <c r="L155" i="1"/>
  <c r="K32" i="2" s="1"/>
  <c r="N32" i="2" s="1"/>
  <c r="K489" i="1"/>
  <c r="BI489" i="1"/>
  <c r="AC489" i="1" s="1"/>
  <c r="AX489" i="1"/>
  <c r="BH488" i="1"/>
  <c r="AF488" i="1" s="1"/>
  <c r="J488" i="1"/>
  <c r="AW488" i="1"/>
  <c r="BH178" i="1"/>
  <c r="J178" i="1"/>
  <c r="J155" i="1" s="1"/>
  <c r="I32" i="2" s="1"/>
  <c r="AW178" i="1"/>
  <c r="AX178" i="1"/>
  <c r="K178" i="1"/>
  <c r="K155" i="1" s="1"/>
  <c r="J32" i="2" s="1"/>
  <c r="BI178" i="1"/>
  <c r="K488" i="1"/>
  <c r="BI488" i="1"/>
  <c r="AG488" i="1" s="1"/>
  <c r="AX488" i="1"/>
  <c r="AL488" i="1"/>
  <c r="M488" i="1"/>
  <c r="L433" i="1"/>
  <c r="K44" i="2" s="1"/>
  <c r="N44" i="2" s="1"/>
  <c r="BF298" i="1"/>
  <c r="BH432" i="1"/>
  <c r="AB432" i="1" s="1"/>
  <c r="J432" i="1"/>
  <c r="AW432" i="1"/>
  <c r="K431" i="1"/>
  <c r="BI431" i="1"/>
  <c r="AG431" i="1" s="1"/>
  <c r="AX431" i="1"/>
  <c r="BC298" i="1"/>
  <c r="K432" i="1"/>
  <c r="BI432" i="1"/>
  <c r="AC432" i="1" s="1"/>
  <c r="AX432" i="1"/>
  <c r="AL431" i="1"/>
  <c r="M431" i="1"/>
  <c r="AL298" i="1"/>
  <c r="M298" i="1"/>
  <c r="M432" i="1"/>
  <c r="AL432" i="1"/>
  <c r="BH431" i="1"/>
  <c r="AF431" i="1" s="1"/>
  <c r="J431" i="1"/>
  <c r="AW431" i="1"/>
  <c r="O46" i="1" l="1"/>
  <c r="L18" i="2" s="1"/>
  <c r="AL47" i="1"/>
  <c r="AU46" i="1" s="1"/>
  <c r="AX296" i="1"/>
  <c r="M47" i="1"/>
  <c r="M46" i="1" s="1"/>
  <c r="BH296" i="1"/>
  <c r="BJ296" i="1"/>
  <c r="Z296" i="1" s="1"/>
  <c r="J36" i="1"/>
  <c r="J34" i="1" s="1"/>
  <c r="I15" i="2" s="1"/>
  <c r="L36" i="1"/>
  <c r="L34" i="1" s="1"/>
  <c r="K15" i="2" s="1"/>
  <c r="N15" i="2" s="1"/>
  <c r="O36" i="1"/>
  <c r="AL193" i="1"/>
  <c r="AU179" i="1" s="1"/>
  <c r="BH36" i="1"/>
  <c r="AB36" i="1" s="1"/>
  <c r="AW296" i="1"/>
  <c r="O296" i="1"/>
  <c r="BF296" i="1" s="1"/>
  <c r="BI296" i="1"/>
  <c r="L296" i="1"/>
  <c r="AL296" i="1" s="1"/>
  <c r="L179" i="1"/>
  <c r="K33" i="2" s="1"/>
  <c r="N33" i="2" s="1"/>
  <c r="BH257" i="1"/>
  <c r="J296" i="1"/>
  <c r="K296" i="1"/>
  <c r="BI36" i="1"/>
  <c r="AC36" i="1" s="1"/>
  <c r="K36" i="1"/>
  <c r="K34" i="1" s="1"/>
  <c r="J15" i="2" s="1"/>
  <c r="AV47" i="1"/>
  <c r="AW36" i="1"/>
  <c r="AX36" i="1"/>
  <c r="BJ36" i="1"/>
  <c r="L134" i="1"/>
  <c r="BD134" i="1"/>
  <c r="AP134" i="1"/>
  <c r="AO134" i="1"/>
  <c r="BJ134" i="1"/>
  <c r="Z134" i="1" s="1"/>
  <c r="C16" i="3"/>
  <c r="C17" i="3"/>
  <c r="AV193" i="1"/>
  <c r="BC193" i="1"/>
  <c r="K43" i="2"/>
  <c r="N43" i="2" s="1"/>
  <c r="AL40" i="1"/>
  <c r="AU38" i="1" s="1"/>
  <c r="M40" i="1"/>
  <c r="M38" i="1" s="1"/>
  <c r="O38" i="1"/>
  <c r="L16" i="2" s="1"/>
  <c r="AV40" i="1"/>
  <c r="BC40" i="1"/>
  <c r="A172" i="1"/>
  <c r="A174" i="1" s="1"/>
  <c r="AV300" i="1"/>
  <c r="BC300" i="1"/>
  <c r="AL300" i="1"/>
  <c r="AU299" i="1" s="1"/>
  <c r="L299" i="1"/>
  <c r="K42" i="2" s="1"/>
  <c r="N42" i="2" s="1"/>
  <c r="M300" i="1"/>
  <c r="M299" i="1" s="1"/>
  <c r="BF300" i="1"/>
  <c r="O299" i="1"/>
  <c r="L42" i="2" s="1"/>
  <c r="AV138" i="1"/>
  <c r="BC138" i="1"/>
  <c r="M179" i="1"/>
  <c r="K433" i="1"/>
  <c r="J44" i="2" s="1"/>
  <c r="J294" i="1"/>
  <c r="K294" i="1"/>
  <c r="AU433" i="1"/>
  <c r="M301" i="1"/>
  <c r="K301" i="1"/>
  <c r="J43" i="2" s="1"/>
  <c r="J301" i="1"/>
  <c r="I43" i="2" s="1"/>
  <c r="AV431" i="1"/>
  <c r="K30" i="2"/>
  <c r="N30" i="2" s="1"/>
  <c r="C18" i="3"/>
  <c r="AF7" i="1" s="1"/>
  <c r="BC150" i="1"/>
  <c r="BC432" i="1"/>
  <c r="AV488" i="1"/>
  <c r="BC91" i="1"/>
  <c r="AV91" i="1"/>
  <c r="AV154" i="1"/>
  <c r="BC154" i="1"/>
  <c r="AV150" i="1"/>
  <c r="BC489" i="1"/>
  <c r="AV178" i="1"/>
  <c r="BC178" i="1"/>
  <c r="C19" i="3"/>
  <c r="M433" i="1"/>
  <c r="J433" i="1"/>
  <c r="I44" i="2" s="1"/>
  <c r="AV489" i="1"/>
  <c r="BC488" i="1"/>
  <c r="AU301" i="1"/>
  <c r="AV432" i="1"/>
  <c r="BC431" i="1"/>
  <c r="M36" i="1" l="1"/>
  <c r="M34" i="1" s="1"/>
  <c r="AL36" i="1"/>
  <c r="AU34" i="1" s="1"/>
  <c r="BC296" i="1"/>
  <c r="C14" i="3"/>
  <c r="AB7" i="1" s="1"/>
  <c r="AV296" i="1"/>
  <c r="M296" i="1"/>
  <c r="BI294" i="1"/>
  <c r="L294" i="1"/>
  <c r="M294" i="1" s="1"/>
  <c r="AW294" i="1"/>
  <c r="O294" i="1"/>
  <c r="BF294" i="1" s="1"/>
  <c r="AX294" i="1"/>
  <c r="BH294" i="1"/>
  <c r="BJ294" i="1"/>
  <c r="Z294" i="1" s="1"/>
  <c r="BI283" i="1"/>
  <c r="O283" i="1"/>
  <c r="BF283" i="1" s="1"/>
  <c r="AX283" i="1"/>
  <c r="BF36" i="1"/>
  <c r="O34" i="1"/>
  <c r="L15" i="2" s="1"/>
  <c r="O257" i="1"/>
  <c r="BF257" i="1" s="1"/>
  <c r="O266" i="1"/>
  <c r="BF266" i="1" s="1"/>
  <c r="K283" i="1"/>
  <c r="L283" i="1"/>
  <c r="M283" i="1" s="1"/>
  <c r="AV36" i="1"/>
  <c r="AX257" i="1"/>
  <c r="L257" i="1"/>
  <c r="AL257" i="1" s="1"/>
  <c r="AW257" i="1"/>
  <c r="BI257" i="1"/>
  <c r="C15" i="3"/>
  <c r="AC7" i="1" s="1"/>
  <c r="AW283" i="1"/>
  <c r="J283" i="1"/>
  <c r="BC36" i="1"/>
  <c r="J257" i="1"/>
  <c r="BJ257" i="1"/>
  <c r="Z257" i="1" s="1"/>
  <c r="BH283" i="1"/>
  <c r="BJ283" i="1"/>
  <c r="Z283" i="1" s="1"/>
  <c r="K257" i="1"/>
  <c r="AX266" i="1"/>
  <c r="AE7" i="1"/>
  <c r="AG7" i="1"/>
  <c r="AL134" i="1"/>
  <c r="AU92" i="1" s="1"/>
  <c r="L92" i="1"/>
  <c r="K27" i="2" s="1"/>
  <c r="N27" i="2" s="1"/>
  <c r="M134" i="1"/>
  <c r="M92" i="1" s="1"/>
  <c r="K134" i="1"/>
  <c r="K92" i="1" s="1"/>
  <c r="J27" i="2" s="1"/>
  <c r="AX134" i="1"/>
  <c r="BI134" i="1"/>
  <c r="BH134" i="1"/>
  <c r="AW134" i="1"/>
  <c r="J134" i="1"/>
  <c r="J92" i="1" s="1"/>
  <c r="I27" i="2" s="1"/>
  <c r="AD7" i="1"/>
  <c r="A176" i="1"/>
  <c r="A178" i="1" s="1"/>
  <c r="A180" i="1" s="1"/>
  <c r="A188" i="1" s="1"/>
  <c r="A193" i="1" s="1"/>
  <c r="A199" i="1" s="1"/>
  <c r="A202" i="1" s="1"/>
  <c r="A205" i="1" s="1"/>
  <c r="A206" i="1" s="1"/>
  <c r="A208" i="1" s="1"/>
  <c r="A212" i="1" s="1"/>
  <c r="A215" i="1" s="1"/>
  <c r="A217" i="1" s="1"/>
  <c r="A221" i="1" s="1"/>
  <c r="A223" i="1" s="1"/>
  <c r="A225" i="1" s="1"/>
  <c r="A227" i="1" s="1"/>
  <c r="A229" i="1" s="1"/>
  <c r="A231" i="1" s="1"/>
  <c r="A234" i="1" s="1"/>
  <c r="A236" i="1" s="1"/>
  <c r="A240" i="1" s="1"/>
  <c r="A242" i="1" s="1"/>
  <c r="A244" i="1" s="1"/>
  <c r="BC294" i="1" l="1"/>
  <c r="AV294" i="1"/>
  <c r="AL294" i="1"/>
  <c r="BI266" i="1"/>
  <c r="AV283" i="1"/>
  <c r="BC283" i="1"/>
  <c r="M257" i="1"/>
  <c r="AL283" i="1"/>
  <c r="A248" i="1"/>
  <c r="A250" i="1" s="1"/>
  <c r="A252" i="1" s="1"/>
  <c r="A255" i="1" s="1"/>
  <c r="A257" i="1" s="1"/>
  <c r="A266" i="1" s="1"/>
  <c r="A274" i="1" s="1"/>
  <c r="A283" i="1" s="1"/>
  <c r="A292" i="1" s="1"/>
  <c r="A294" i="1" s="1"/>
  <c r="A296" i="1" s="1"/>
  <c r="A298" i="1" s="1"/>
  <c r="A300" i="1" s="1"/>
  <c r="A302" i="1" s="1"/>
  <c r="A303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3" i="1" s="1"/>
  <c r="A325" i="1" s="1"/>
  <c r="A327" i="1" s="1"/>
  <c r="A330" i="1" s="1"/>
  <c r="A332" i="1" s="1"/>
  <c r="A334" i="1" s="1"/>
  <c r="A336" i="1" s="1"/>
  <c r="A338" i="1" s="1"/>
  <c r="A339" i="1" s="1"/>
  <c r="A342" i="1" s="1"/>
  <c r="A343" i="1" s="1"/>
  <c r="A349" i="1" s="1"/>
  <c r="A351" i="1" s="1"/>
  <c r="A353" i="1" s="1"/>
  <c r="A355" i="1" s="1"/>
  <c r="A357" i="1" s="1"/>
  <c r="A361" i="1" s="1"/>
  <c r="A363" i="1" s="1"/>
  <c r="A365" i="1" s="1"/>
  <c r="A368" i="1" s="1"/>
  <c r="A369" i="1" s="1"/>
  <c r="A370" i="1" s="1"/>
  <c r="A371" i="1" s="1"/>
  <c r="A373" i="1" s="1"/>
  <c r="A378" i="1" s="1"/>
  <c r="A380" i="1" s="1"/>
  <c r="A381" i="1" s="1"/>
  <c r="A383" i="1" s="1"/>
  <c r="A385" i="1" s="1"/>
  <c r="A387" i="1" s="1"/>
  <c r="A389" i="1" s="1"/>
  <c r="A391" i="1" s="1"/>
  <c r="A393" i="1" s="1"/>
  <c r="A394" i="1" s="1"/>
  <c r="A397" i="1" s="1"/>
  <c r="A409" i="1" s="1"/>
  <c r="A411" i="1" s="1"/>
  <c r="A413" i="1" s="1"/>
  <c r="A415" i="1" s="1"/>
  <c r="A417" i="1" s="1"/>
  <c r="A419" i="1" s="1"/>
  <c r="A421" i="1" s="1"/>
  <c r="A423" i="1" s="1"/>
  <c r="A425" i="1" s="1"/>
  <c r="A427" i="1" s="1"/>
  <c r="A429" i="1" s="1"/>
  <c r="A431" i="1" s="1"/>
  <c r="A432" i="1" s="1"/>
  <c r="A434" i="1" s="1"/>
  <c r="A436" i="1" s="1"/>
  <c r="A438" i="1" s="1"/>
  <c r="A440" i="1" s="1"/>
  <c r="A442" i="1" s="1"/>
  <c r="A444" i="1" s="1"/>
  <c r="A445" i="1" s="1"/>
  <c r="A459" i="1" s="1"/>
  <c r="A461" i="1" s="1"/>
  <c r="K266" i="1"/>
  <c r="J266" i="1"/>
  <c r="BJ266" i="1"/>
  <c r="Z266" i="1" s="1"/>
  <c r="L266" i="1"/>
  <c r="BH266" i="1"/>
  <c r="AW266" i="1"/>
  <c r="AV266" i="1" s="1"/>
  <c r="AV257" i="1"/>
  <c r="BC257" i="1"/>
  <c r="K274" i="1"/>
  <c r="BH274" i="1"/>
  <c r="BJ274" i="1"/>
  <c r="Z274" i="1" s="1"/>
  <c r="AX274" i="1"/>
  <c r="O274" i="1"/>
  <c r="BF274" i="1" s="1"/>
  <c r="BI274" i="1"/>
  <c r="L274" i="1"/>
  <c r="J274" i="1"/>
  <c r="AW274" i="1"/>
  <c r="AV134" i="1"/>
  <c r="BC134" i="1"/>
  <c r="AX292" i="1"/>
  <c r="BI292" i="1"/>
  <c r="J292" i="1"/>
  <c r="BH292" i="1"/>
  <c r="AW292" i="1"/>
  <c r="BJ292" i="1"/>
  <c r="Z292" i="1" s="1"/>
  <c r="O292" i="1"/>
  <c r="L292" i="1"/>
  <c r="K292" i="1"/>
  <c r="I16" i="3"/>
  <c r="K256" i="1" l="1"/>
  <c r="J41" i="2" s="1"/>
  <c r="BC266" i="1"/>
  <c r="M266" i="1"/>
  <c r="AL266" i="1"/>
  <c r="J256" i="1"/>
  <c r="I41" i="2" s="1"/>
  <c r="BC274" i="1"/>
  <c r="AV274" i="1"/>
  <c r="M274" i="1"/>
  <c r="AL274" i="1"/>
  <c r="M292" i="1"/>
  <c r="AL292" i="1"/>
  <c r="L256" i="1"/>
  <c r="C21" i="3"/>
  <c r="BF292" i="1"/>
  <c r="O256" i="1"/>
  <c r="L41" i="2" s="1"/>
  <c r="BC292" i="1"/>
  <c r="AV292" i="1"/>
  <c r="AU1" i="1"/>
  <c r="A465" i="1"/>
  <c r="A467" i="1" s="1"/>
  <c r="A469" i="1" s="1"/>
  <c r="A471" i="1" s="1"/>
  <c r="A463" i="1"/>
  <c r="M256" i="1" l="1"/>
  <c r="M505" i="1" s="1"/>
  <c r="AU256" i="1"/>
  <c r="AL5" i="1"/>
  <c r="K41" i="2"/>
  <c r="N41" i="2" s="1"/>
  <c r="K46" i="2" s="1"/>
  <c r="C22" i="3" s="1"/>
  <c r="L505" i="1"/>
  <c r="Z7" i="1"/>
  <c r="A473" i="1"/>
  <c r="A475" i="1" s="1"/>
  <c r="A477" i="1" s="1"/>
  <c r="A479" i="1" l="1"/>
  <c r="A481" i="1" s="1"/>
  <c r="A483" i="1" s="1"/>
  <c r="A484" i="1" s="1"/>
  <c r="A485" i="1" s="1"/>
  <c r="A487" i="1" s="1"/>
  <c r="A488" i="1" s="1"/>
  <c r="A489" i="1" s="1"/>
  <c r="A491" i="1" s="1"/>
  <c r="A493" i="1" s="1"/>
  <c r="A496" i="1" s="1"/>
  <c r="A498" i="1" s="1"/>
  <c r="A501" i="1" s="1"/>
  <c r="A503" i="1" s="1"/>
  <c r="H26" i="4"/>
  <c r="I26" i="4" s="1"/>
  <c r="I32" i="4" s="1"/>
  <c r="F34" i="4" s="1"/>
  <c r="I14" i="3"/>
  <c r="I22" i="3" s="1"/>
  <c r="C29" i="3" s="1"/>
  <c r="I8" i="3" l="1"/>
  <c r="I8" i="4" s="1"/>
  <c r="F29" i="3"/>
  <c r="I28" i="3"/>
  <c r="E17" i="6" s="1"/>
  <c r="E19" i="6" s="1"/>
  <c r="E33" i="6" s="1"/>
  <c r="E68" i="6" l="1"/>
  <c r="C41" i="6"/>
  <c r="E41" i="6" s="1"/>
  <c r="I29" i="3"/>
  <c r="E44" i="6" l="1"/>
  <c r="E77" i="6" s="1"/>
  <c r="C48" i="6"/>
  <c r="E48" i="6" s="1"/>
  <c r="E49" i="6" s="1"/>
  <c r="E92" i="6" s="1"/>
  <c r="E97" i="6" l="1"/>
</calcChain>
</file>

<file path=xl/sharedStrings.xml><?xml version="1.0" encoding="utf-8"?>
<sst xmlns="http://schemas.openxmlformats.org/spreadsheetml/2006/main" count="4659" uniqueCount="1197">
  <si>
    <t>Název stavby:</t>
  </si>
  <si>
    <t>K. Vary - Výměna gravitačního řadu termominerální vody</t>
  </si>
  <si>
    <t>Doba výstavby:</t>
  </si>
  <si>
    <t xml:space="preserve"> </t>
  </si>
  <si>
    <t>Objednatel:</t>
  </si>
  <si>
    <t>SPLZaK, Lázeňská 2, 36001 Karlovy Vary</t>
  </si>
  <si>
    <t>Druh stavby:</t>
  </si>
  <si>
    <t>RT-2516-2</t>
  </si>
  <si>
    <t>Začátek výstavby:</t>
  </si>
  <si>
    <t>26.07.2025</t>
  </si>
  <si>
    <t>Projektant:</t>
  </si>
  <si>
    <t>Lokalita:</t>
  </si>
  <si>
    <t>Konec výstavby:</t>
  </si>
  <si>
    <t>Zhotovitel:</t>
  </si>
  <si>
    <t> </t>
  </si>
  <si>
    <t>JKSO:</t>
  </si>
  <si>
    <t>827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</si>
  <si>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</si>
  <si>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</si>
  <si>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</si>
  <si>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</si>
  <si>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</si>
  <si>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</si>
  <si>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</si>
  <si>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</si>
  <si>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</si>
  <si>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</si>
  <si>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</si>
  <si>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</si>
  <si>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</si>
  <si>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</si>
  <si>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</si>
  <si>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</si>
  <si>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</si>
  <si>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</si>
  <si>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</si>
  <si>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</si>
  <si>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</si>
  <si>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</si>
  <si>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</si>
  <si>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</si>
  <si>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</si>
  <si>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</si>
  <si>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</si>
  <si>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</si>
  <si>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</si>
  <si>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</si>
  <si>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</si>
  <si>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</si>
  <si>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</si>
  <si>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</si>
  <si>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</si>
  <si>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</si>
  <si>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</si>
  <si>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</si>
  <si>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</si>
  <si>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</si>
  <si>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113108310R00</t>
  </si>
  <si>
    <t>Odstranění asfaltové vrstvy pl. do 50 m2, tl.10 cm</t>
  </si>
  <si>
    <t>m2</t>
  </si>
  <si>
    <t>RTS I / 2025</t>
  </si>
  <si>
    <t>11_</t>
  </si>
  <si>
    <t>1_</t>
  </si>
  <si>
    <t>_</t>
  </si>
  <si>
    <t>P</t>
  </si>
  <si>
    <t>;L 34 - L 37  ;  (10,7+6,3)*0,5 + (6,3+2,5)*2,0</t>
  </si>
  <si>
    <t>;L 38 - L 40  ;  8,0*2,0</t>
  </si>
  <si>
    <t>4,5*1,8*1,0   ;  montážní rýha  L 37</t>
  </si>
  <si>
    <t>2</t>
  </si>
  <si>
    <t>113201111R00</t>
  </si>
  <si>
    <t>Vytrhání obrubníků chodníkových a parkových</t>
  </si>
  <si>
    <t>m</t>
  </si>
  <si>
    <t>;L 34 - L 37   ;  23,0</t>
  </si>
  <si>
    <t>12</t>
  </si>
  <si>
    <t>Odkopávky a prokopávky</t>
  </si>
  <si>
    <t>121101100R00</t>
  </si>
  <si>
    <t>Sejmutí ornice, pl. do 400 m2, přemístění do 50 m</t>
  </si>
  <si>
    <t>m3</t>
  </si>
  <si>
    <t>12_</t>
  </si>
  <si>
    <t>;L 34 - L 37   ;  26,0*2,0*0,2</t>
  </si>
  <si>
    <t>13</t>
  </si>
  <si>
    <t>Hloubené vykopávky</t>
  </si>
  <si>
    <t>132201210R00</t>
  </si>
  <si>
    <t>Hloubení rýh š.do 200 cm hor.3 do 50 m3,STROJNĚ</t>
  </si>
  <si>
    <t>13_</t>
  </si>
  <si>
    <t>;  L 36   ;  4,5*0,8*0,8</t>
  </si>
  <si>
    <t>4,5*0,8*1,0   ;  montážní rýha  L 37</t>
  </si>
  <si>
    <t>5</t>
  </si>
  <si>
    <t>130001101R00</t>
  </si>
  <si>
    <t>Příplatek za ztížené hloubení v blízkosti vedení</t>
  </si>
  <si>
    <t>16</t>
  </si>
  <si>
    <t>Přemístění výkopku</t>
  </si>
  <si>
    <t>162701105R00</t>
  </si>
  <si>
    <t>Vodorovné přemístění výkopku z hor.1-4 do 10000 m</t>
  </si>
  <si>
    <t>16_</t>
  </si>
  <si>
    <t>7</t>
  </si>
  <si>
    <t>162701109R00</t>
  </si>
  <si>
    <t>Příplatek k vod. přemístění hor.1-4 za další 1 km</t>
  </si>
  <si>
    <t>17</t>
  </si>
  <si>
    <t>Konstrukce ze zemin</t>
  </si>
  <si>
    <t>171201201R00</t>
  </si>
  <si>
    <t>Uložení sypaniny na skládku.-sypanina na výšku přes 2m</t>
  </si>
  <si>
    <t>17_</t>
  </si>
  <si>
    <t>174101101R00</t>
  </si>
  <si>
    <t>Zásyp jam, rýh, šachet se zhutněním</t>
  </si>
  <si>
    <t>18</t>
  </si>
  <si>
    <t>Povrchové úpravy terénu</t>
  </si>
  <si>
    <t>181301103R00</t>
  </si>
  <si>
    <t>Rozprostření ornice, rovina, tl. 15-20 cm,do 500m2</t>
  </si>
  <si>
    <t>18_</t>
  </si>
  <si>
    <t>;L 34 - L 37   ;  26,0*2,0</t>
  </si>
  <si>
    <t>19</t>
  </si>
  <si>
    <t>Hloubení pro podzemní stěny, ražení a hloubení důlní</t>
  </si>
  <si>
    <t>199000002R00</t>
  </si>
  <si>
    <t>Poplatek za skládku horniny 1- 4, č. dle katal. odpadů 17 05 04</t>
  </si>
  <si>
    <t>19_</t>
  </si>
  <si>
    <t>31</t>
  </si>
  <si>
    <t>Zdi podpěrné a volné</t>
  </si>
  <si>
    <t>317941121RT3</t>
  </si>
  <si>
    <t>Osazení ocelových válcovaných nosníků do č. 12 - včetně dodávky profilu I č. 12</t>
  </si>
  <si>
    <t>t</t>
  </si>
  <si>
    <t>31_</t>
  </si>
  <si>
    <t>3_</t>
  </si>
  <si>
    <t>317941123RT2</t>
  </si>
  <si>
    <t>Osazení ocelových válcovaných nosníků  č. 14 - 22 - včetně dodávky profilu I č. 14</t>
  </si>
  <si>
    <t>0,9*14,3/1000*8   ;   výměna konzole</t>
  </si>
  <si>
    <t>317941123RT4</t>
  </si>
  <si>
    <t>Osazení ocelových válcovaných nosníků  č. 14 - 22 - včetně dodávky profilu I č. 18</t>
  </si>
  <si>
    <t>310218811R00</t>
  </si>
  <si>
    <t>;L 36   ;   0,8*0,8*0,15</t>
  </si>
  <si>
    <t>41</t>
  </si>
  <si>
    <t>Stropy a stropní konstrukce (pro pozemní stavby)</t>
  </si>
  <si>
    <t>413232211RT2</t>
  </si>
  <si>
    <t>Zazdívka zhlaví válcovaných nosníků výšky do 15cm - s použitím suché maltové směsi</t>
  </si>
  <si>
    <t>kus</t>
  </si>
  <si>
    <t>41_</t>
  </si>
  <si>
    <t>4_</t>
  </si>
  <si>
    <t>8*3  ;   výměna  konzolí</t>
  </si>
  <si>
    <t>15   ;  oprava stávajících konzol  - vyrovnání</t>
  </si>
  <si>
    <t>56</t>
  </si>
  <si>
    <t>Podkladní vrstvy komunikací, letišť a ploch</t>
  </si>
  <si>
    <t>566903111R00</t>
  </si>
  <si>
    <t>Vyspravení podkladu po překopech kam.hrubě drceným</t>
  </si>
  <si>
    <t>56_</t>
  </si>
  <si>
    <t>5_</t>
  </si>
  <si>
    <t>;L 34 - L 37  ;  (10,7+6,3)*0,5 + (6,3+2,5)*2,0*0,2*2,3</t>
  </si>
  <si>
    <t>;L 38 - L 40  ;  8,0*2,0*0,2*2,3</t>
  </si>
  <si>
    <t>4,5*0,8*0,2*2,3   ;  montážní rýha  L 37</t>
  </si>
  <si>
    <t>566904111R00</t>
  </si>
  <si>
    <t>Vyspravení podkladu po překopech kam.obal.asfaltem</t>
  </si>
  <si>
    <t>;L 34 - L 37  ;  (10,7+6,3)*0,5 + (6,3+2,5)*2,0*0,2*2,637</t>
  </si>
  <si>
    <t>;L 38 - L 40  ;  8,0*2,0*0,2*2,637</t>
  </si>
  <si>
    <t>4,5*1,8*0,2*2,637   ;  montážní rýha  L 37</t>
  </si>
  <si>
    <t>57</t>
  </si>
  <si>
    <t>Kryty pozemních komunikací, letišť a ploch z kameniva nebo živičné</t>
  </si>
  <si>
    <t>572952111R00</t>
  </si>
  <si>
    <t>Vyspravení krytu po překopu asf.betonem tl.do 5 cm</t>
  </si>
  <si>
    <t>57_</t>
  </si>
  <si>
    <t>4,5*1,8   ;  montážní rýha  L 37</t>
  </si>
  <si>
    <t>572</t>
  </si>
  <si>
    <t>obnova (rekonstrukce), údržba</t>
  </si>
  <si>
    <t>572581122VD</t>
  </si>
  <si>
    <t>Vyspravení trhlin, spar živičným polymerovým páskem š 40 mm, tl 4 mm</t>
  </si>
  <si>
    <t>572_</t>
  </si>
  <si>
    <t>;L 34 - L 37  ;   10,8+15,0+3,6+4,7*2+1,0</t>
  </si>
  <si>
    <t>;L 38 - L 40  ;    10,2*2+2,0</t>
  </si>
  <si>
    <t>4,5*2+0,8      ;  montážní rýha  L 37</t>
  </si>
  <si>
    <t>63</t>
  </si>
  <si>
    <t>Podlahy a podlahové konstrukce</t>
  </si>
  <si>
    <t>631312611R00</t>
  </si>
  <si>
    <t>Mazanina betonová tl. 5 - 8 cm C 16/20</t>
  </si>
  <si>
    <t>63_</t>
  </si>
  <si>
    <t>6_</t>
  </si>
  <si>
    <t>711</t>
  </si>
  <si>
    <t>Izolace proti vodě</t>
  </si>
  <si>
    <t>22</t>
  </si>
  <si>
    <t>711111001RZ1</t>
  </si>
  <si>
    <t>Provedení izolace proti vlhkosti na ploše vodorovné, 1x asfaltovým penetračním nátěrem - včetně dodávky asfaltového penetračního laku</t>
  </si>
  <si>
    <t>711_</t>
  </si>
  <si>
    <t>71_</t>
  </si>
  <si>
    <t>;L 34 - L 37  + L 38 - L 40  ;   59,25*1,5</t>
  </si>
  <si>
    <t>711141559RZ1</t>
  </si>
  <si>
    <t>;L 34 - L 37  + L 38 - L 40  ;   59,25*(1,5+0,2*2)</t>
  </si>
  <si>
    <t>998711201R00</t>
  </si>
  <si>
    <t>Přesun hmot pro izolace proti vodě, výšky do 6 m</t>
  </si>
  <si>
    <t>%</t>
  </si>
  <si>
    <t>713</t>
  </si>
  <si>
    <t>Izolace tepelné</t>
  </si>
  <si>
    <t>713400811R00</t>
  </si>
  <si>
    <t>Odstranění oplechování potrubí</t>
  </si>
  <si>
    <t>713_</t>
  </si>
  <si>
    <t>713400821R00</t>
  </si>
  <si>
    <t>Odstranění izolačních pásů  potrubí</t>
  </si>
  <si>
    <t>713411121R00</t>
  </si>
  <si>
    <t>Montáž tepelné izolace potrubí pásy LSP a drátem, 1 vrstvá - rozvod</t>
  </si>
  <si>
    <t>;DN 20    ;    (0,03+0,02+0,03)*3,14*31,0       ;  odvzdušnění L 50 - L 55</t>
  </si>
  <si>
    <t>;DN 300  ;    (0,1+0,32+0,1)*3,14*28,0           ;  L 37 - L 39 - Doizolování pod Hochbergerovou lávkou</t>
  </si>
  <si>
    <t>;DN 65     ;  (0,06+0,07+0,06)*3,14*1,0                  ;  propoje</t>
  </si>
  <si>
    <t>;DN 100  ;  (0,08+0,108+0,08)*3,14*1,0   ;  propoje</t>
  </si>
  <si>
    <t>;DN 150  ;  (0,08+0,159+0,08)*3,14*4,0   ;  propoje</t>
  </si>
  <si>
    <t>;DN 80    ;  (0,08+0,089+0,08)*3,14*1,0   ;  propoje</t>
  </si>
  <si>
    <t>;DN 150 armatura  ;  (0,08+0,159+0,08)*3,14*0,3*2</t>
  </si>
  <si>
    <t>63151672</t>
  </si>
  <si>
    <t>M</t>
  </si>
  <si>
    <t>;DN 65     ;  (0,06+0,07+0,06)*3,14*1,0*1,02                  ;  propoje</t>
  </si>
  <si>
    <t>63151670.A</t>
  </si>
  <si>
    <t>;DN 20  ;  (0,03+0,02+0,03)*3,14*31,0*1,02    ;  odvzdušnění L 50 - L 55</t>
  </si>
  <si>
    <t>63151674</t>
  </si>
  <si>
    <t>;DN 300  ;    (0,1+0,32+0,1)*3,14*28,0 * 1,02          ;  L 37 - L 39 - Doizolování pod Hochbergerovou lávkou</t>
  </si>
  <si>
    <t>Montáž tepelné izolace potrubí pásy LSP a drátem, 1 vrstvá - provizor</t>
  </si>
  <si>
    <t>Odstranění izolačních pásů  potrubí - provizor</t>
  </si>
  <si>
    <t>28378191</t>
  </si>
  <si>
    <t>63151673</t>
  </si>
  <si>
    <t>;DN 100  ;  (0,08+0,108+0,08)*3,14*1,0*1,02   ;  propoje</t>
  </si>
  <si>
    <t>;DN 150  ;  (0,08+0,159+0,08)*3,14*4,0*1,02   ;  propoje</t>
  </si>
  <si>
    <t>;DN 80    ;  (0,08+0,089+0,08)*3,14*1,0*1,02   ;  propoje</t>
  </si>
  <si>
    <t>998713201R00</t>
  </si>
  <si>
    <t>Přesun hmot pro izolace tepelné, výšky do 6 m</t>
  </si>
  <si>
    <t>732</t>
  </si>
  <si>
    <t>Strojovny</t>
  </si>
  <si>
    <t>732214815R00</t>
  </si>
  <si>
    <t>Vypuštění vody</t>
  </si>
  <si>
    <t>732_</t>
  </si>
  <si>
    <t>73_</t>
  </si>
  <si>
    <t>733</t>
  </si>
  <si>
    <t>Rozvod potrubí</t>
  </si>
  <si>
    <t>733134157R00</t>
  </si>
  <si>
    <t>733_</t>
  </si>
  <si>
    <t>998733201R00</t>
  </si>
  <si>
    <t>Přesun hmot pro rozvody potrubí, výšky do 6 m</t>
  </si>
  <si>
    <t>734</t>
  </si>
  <si>
    <t>Armatury</t>
  </si>
  <si>
    <t>734233116R00</t>
  </si>
  <si>
    <t>734_</t>
  </si>
  <si>
    <t>1   ;  L  32  provizor</t>
  </si>
  <si>
    <t>734233112R00</t>
  </si>
  <si>
    <t>998734201R00</t>
  </si>
  <si>
    <t>Přesun hmot pro armatury, výšky do 6 m</t>
  </si>
  <si>
    <t>762</t>
  </si>
  <si>
    <t>Konstrukce tesařské</t>
  </si>
  <si>
    <t>762524911RT3</t>
  </si>
  <si>
    <t>Položení polštářů tloušťky do 100 mm vč. příložek - včetně dodávky řeziva, polštáře 100 x 100 mm - provizor</t>
  </si>
  <si>
    <t>762_</t>
  </si>
  <si>
    <t>76_</t>
  </si>
  <si>
    <t>0,4*28   ;  L34 - L40   - podkladní hranoly</t>
  </si>
  <si>
    <t>998762202R00</t>
  </si>
  <si>
    <t>Přesun hmot pro tesařské konstrukce, výšky do 12 m</t>
  </si>
  <si>
    <t>767</t>
  </si>
  <si>
    <t>Konstrukce doplňkové stavební (zámečnické)</t>
  </si>
  <si>
    <t>767996801R00</t>
  </si>
  <si>
    <t>kg</t>
  </si>
  <si>
    <t>767_</t>
  </si>
  <si>
    <t>767995103R00</t>
  </si>
  <si>
    <t>Výroba a montáž kov. atypických konstr. do 20 kg oprava, vyrovnání  konzolí</t>
  </si>
  <si>
    <t>58/4*18,8</t>
  </si>
  <si>
    <t>767883224RV3</t>
  </si>
  <si>
    <t>ks</t>
  </si>
  <si>
    <t>767883224RT3</t>
  </si>
  <si>
    <t>2   ;   L 58</t>
  </si>
  <si>
    <t>767995104R00</t>
  </si>
  <si>
    <t>Výroba a montáž kov. atypických konstr. do 50 kg - konzola pevného bodu z 2 x U120</t>
  </si>
  <si>
    <t>61,05*4   ;   PB 1+ PB 2 + PB 11 + PB 12  (61,05 kg/kus)</t>
  </si>
  <si>
    <t>Výroba a montáž kov. atypických konstr. do 20 kg</t>
  </si>
  <si>
    <t>;L 50/5  ;  4,0*3,77     ;   L 20  - odvzdušňovací armatura</t>
  </si>
  <si>
    <t>;plech 1 mm        ;  (1,0*1,0*2+1,0*0,5*2) *7,85  ;  kryt   L 20  - odvzdušňovací armatura z plechu</t>
  </si>
  <si>
    <t>767883222RV2</t>
  </si>
  <si>
    <t>6   ;   L 55 - L 57</t>
  </si>
  <si>
    <t>767883222RT3</t>
  </si>
  <si>
    <t>Objímka dvoušroubová, upínací sestava, FRS+ pro potrubí průměru 20 - 23 mm</t>
  </si>
  <si>
    <t>10    ;   L 50 - L 55</t>
  </si>
  <si>
    <t>998767201R00</t>
  </si>
  <si>
    <t>Přesun hmot pro zámečnické konstr., výšky do 6 m</t>
  </si>
  <si>
    <t>783</t>
  </si>
  <si>
    <t>Nátěry</t>
  </si>
  <si>
    <t>783222120R00</t>
  </si>
  <si>
    <t>783_</t>
  </si>
  <si>
    <t>78_</t>
  </si>
  <si>
    <t>;Pevný bod    ;   (0,9669*0,12*4*2+0,25*0,25*2)*4</t>
  </si>
  <si>
    <t>783904811R00</t>
  </si>
  <si>
    <t>Odrezivění kovových konstrukcí</t>
  </si>
  <si>
    <t>783201811R00</t>
  </si>
  <si>
    <t>Odstranění nátěrů z kovových konstrukcí oškrábáním</t>
  </si>
  <si>
    <t>89</t>
  </si>
  <si>
    <t>Ostatní konstrukce a práce na trubním vedení</t>
  </si>
  <si>
    <t>899102111RT2</t>
  </si>
  <si>
    <t>Osazení poklopu s rámem do 100 kg - včetně dodávky poklopu lit. s rámem 600 x 600</t>
  </si>
  <si>
    <t>89_</t>
  </si>
  <si>
    <t>8_</t>
  </si>
  <si>
    <t>;L 37 - L 38   ;   2</t>
  </si>
  <si>
    <t>90</t>
  </si>
  <si>
    <t>Hodinové zúčtovací sazby (HZS)</t>
  </si>
  <si>
    <t>904      R02</t>
  </si>
  <si>
    <t>Hzs-zkousky v ramci montaz.praci - Topná zkouška</t>
  </si>
  <si>
    <t>h</t>
  </si>
  <si>
    <t>90_</t>
  </si>
  <si>
    <t>9_</t>
  </si>
  <si>
    <t>72,0   ;   trasa</t>
  </si>
  <si>
    <t>72,0   ;  provizor</t>
  </si>
  <si>
    <t>905      R01</t>
  </si>
  <si>
    <t>Hzs-revize provoz.souboru a st.obj. - Revize elektro</t>
  </si>
  <si>
    <t>900      R24</t>
  </si>
  <si>
    <t>HZS - elektromontér v tarifní třídě 7 - demontáž svítidel, odpojení SU, nespecifikované práce</t>
  </si>
  <si>
    <t>91</t>
  </si>
  <si>
    <t>Doplňující konstrukce a práce na pozemních komunikacích a zpevněných plochách</t>
  </si>
  <si>
    <t>919735112R00</t>
  </si>
  <si>
    <t>Řezání stávajícího živičného krytu tl. 5 - 10 cm</t>
  </si>
  <si>
    <t>91_</t>
  </si>
  <si>
    <t>4,5*2+0,8   ;  montážní rýha  L 37</t>
  </si>
  <si>
    <t>917411111R00</t>
  </si>
  <si>
    <t>Osaz. stoj. obrub. kam. bez opěry, lože kam.těžené</t>
  </si>
  <si>
    <t>94</t>
  </si>
  <si>
    <t>Lešení a stavební výtahy</t>
  </si>
  <si>
    <t>941955002R00</t>
  </si>
  <si>
    <t>Lešení lehké pomocné, výška podlahy do 1,9 m</t>
  </si>
  <si>
    <t>94_</t>
  </si>
  <si>
    <t>941955004R00</t>
  </si>
  <si>
    <t>Lešení lehké pomocné, výška podlahy do 3,5 m</t>
  </si>
  <si>
    <t>240,0*1,5  ;  od Poštovního mostu</t>
  </si>
  <si>
    <t>95</t>
  </si>
  <si>
    <t>Různé dokončovací konstrukce a práce na pozemních stavbách</t>
  </si>
  <si>
    <t>953981206R00</t>
  </si>
  <si>
    <t>Chemické kotvy, beton, hl.210 mm, M24, malta 2slož</t>
  </si>
  <si>
    <t>95_</t>
  </si>
  <si>
    <t>4 * 4  ;  pro nové konzole - pevný bod PB 1+PB2 + PB11 + PB12</t>
  </si>
  <si>
    <t>30907646</t>
  </si>
  <si>
    <t>Šroub do zdiva 021391 tvar B  M24 x 320 mm</t>
  </si>
  <si>
    <t>1000 ks</t>
  </si>
  <si>
    <t>4 * 4 / 1000   ;  pro nové konzole - pevný bod  PB1 + PB2 + PB11 + PB12</t>
  </si>
  <si>
    <t>952901411R00</t>
  </si>
  <si>
    <t>Vyčištění ostatních objektů - kanálu</t>
  </si>
  <si>
    <t>953943123R00</t>
  </si>
  <si>
    <t>Osazení kovových předmětů do betonu, 15 kg / kus - dvířka energokanálu</t>
  </si>
  <si>
    <t>1    ;    L 50 - L 51   revizní otvor do energokanálu</t>
  </si>
  <si>
    <t>950 04VD</t>
  </si>
  <si>
    <t>den</t>
  </si>
  <si>
    <t>950 02VD</t>
  </si>
  <si>
    <t>Dočasná lávka pro pěší - montáž, opotřebení, demontáž š 1,20 m</t>
  </si>
  <si>
    <t>96</t>
  </si>
  <si>
    <t>Bourání konstrukcí</t>
  </si>
  <si>
    <t>962051116R00</t>
  </si>
  <si>
    <t>Bourání příček železobetonových tl. 15 cm</t>
  </si>
  <si>
    <t>96_</t>
  </si>
  <si>
    <t>;L 36   ;   0,8*0,8*0,12   ;   stěna kanálu</t>
  </si>
  <si>
    <t>963015121R00</t>
  </si>
  <si>
    <t>;L 34 - L 37 + L 38 - L 40  ;  39,5*1,5</t>
  </si>
  <si>
    <t>964061141R00</t>
  </si>
  <si>
    <t>Uvolnění zhlaví trámu,.zeď kamen. nad 0,05 m2</t>
  </si>
  <si>
    <t>8*3   ;  výměna konzol</t>
  </si>
  <si>
    <t>976075211R00</t>
  </si>
  <si>
    <t>Vybourání ocel.konzol hmotnost do 20 kg</t>
  </si>
  <si>
    <t>970041025R00</t>
  </si>
  <si>
    <t>Vrtání jádrové do prostého betonu d 25 mm</t>
  </si>
  <si>
    <t>4 * 0,2 *2 ;  pro nové konzole - pevný bod PB 1+PB2+PB11+PB12</t>
  </si>
  <si>
    <t>976085311R00</t>
  </si>
  <si>
    <t>Vybourání kanal.rámů a poklopů plochy do 0,6 m2</t>
  </si>
  <si>
    <t>976074141R00</t>
  </si>
  <si>
    <t>Vybourání kotevních želez zeď beton, kámen</t>
  </si>
  <si>
    <t>6    ;    L 50 - L 51   revizní otvor do energokanálu</t>
  </si>
  <si>
    <t>98</t>
  </si>
  <si>
    <t>Přechodné dopravní značení</t>
  </si>
  <si>
    <t>950 03VD</t>
  </si>
  <si>
    <t>soub</t>
  </si>
  <si>
    <t>98_</t>
  </si>
  <si>
    <t>S</t>
  </si>
  <si>
    <t>Přesuny sutí</t>
  </si>
  <si>
    <t>979082111R00</t>
  </si>
  <si>
    <t>Vnitrostaveništní doprava suti do 10 m</t>
  </si>
  <si>
    <t>S_</t>
  </si>
  <si>
    <t>11,044                  ;  asfalt</t>
  </si>
  <si>
    <t>979082121R00</t>
  </si>
  <si>
    <t>Příplatek k vnitrost. dopravě suti za dalších 5 m</t>
  </si>
  <si>
    <t>979081111R00</t>
  </si>
  <si>
    <t>Odvoz suti a vybour. hmot na skládku do 1 km</t>
  </si>
  <si>
    <t>979082119R00</t>
  </si>
  <si>
    <t>Příplatek k přesunu suti za každých dalších 1000 m</t>
  </si>
  <si>
    <t>979990144R00</t>
  </si>
  <si>
    <t>Poplatek za uložení suti - minerální vata, skupina odpadu 170604</t>
  </si>
  <si>
    <t>979990191R00</t>
  </si>
  <si>
    <t>Poplatek za uložení suti - zarostlé potrubí výrobky, skupina odpadu 170203</t>
  </si>
  <si>
    <t>979990107R00</t>
  </si>
  <si>
    <t>Poplatek za uložení suti - směs betonu, cihel, dřeva, skupina odpadu 170904</t>
  </si>
  <si>
    <t>979999995R00</t>
  </si>
  <si>
    <t>Poplatek za recyklaci asfaltu, kusovost do 1600 cm2, (skup.170302)</t>
  </si>
  <si>
    <t>H27</t>
  </si>
  <si>
    <t>Přesun hmot HSV</t>
  </si>
  <si>
    <t>998272201R00</t>
  </si>
  <si>
    <t>Přesun hmot, trubní vedení ocelové, otevřený výkop</t>
  </si>
  <si>
    <t>H27_</t>
  </si>
  <si>
    <t>M23</t>
  </si>
  <si>
    <t>Montáže potrubí</t>
  </si>
  <si>
    <t>230011088R00</t>
  </si>
  <si>
    <t>Montáž trubky ocelové 159 x 4,5</t>
  </si>
  <si>
    <t>M23_</t>
  </si>
  <si>
    <t>50,0   ;   L 50 - L 57</t>
  </si>
  <si>
    <t>14215910</t>
  </si>
  <si>
    <t>Trubka bezešvá hladká 11 353.0, rozměr 159,0 x 4,5 mm</t>
  </si>
  <si>
    <t>50,0 * 1,05  ;   L 50 - L 57</t>
  </si>
  <si>
    <t>230011017R00</t>
  </si>
  <si>
    <t>Montáž trubky ocelové 28  x 2,6</t>
  </si>
  <si>
    <t>31,0   ;  odvzdušnění  L 55 - L 50</t>
  </si>
  <si>
    <t>14110971</t>
  </si>
  <si>
    <t>Trubka bezešvá hladká 11 353, rozměr 28,0 x 2,6 mm</t>
  </si>
  <si>
    <t>31,0*1,1   ;  odvzdušnění  L 55 - L 50</t>
  </si>
  <si>
    <t>230120041R00</t>
  </si>
  <si>
    <t>Čištění potrubí profukováním nebo proplach. DN 32</t>
  </si>
  <si>
    <t>62,0   ;    odvzdušnění</t>
  </si>
  <si>
    <t>230120048R00</t>
  </si>
  <si>
    <t>Čištění potrubí profukováním nebo proplach. DN 150</t>
  </si>
  <si>
    <t>50,0    ;  L 50 - L 57</t>
  </si>
  <si>
    <t>230120049R00</t>
  </si>
  <si>
    <t>Čištění potrubí profukováním nebo proplach. DN 200</t>
  </si>
  <si>
    <t>230120051R00</t>
  </si>
  <si>
    <t>Čištění potrubí profukováním nebo proplach. DN 300</t>
  </si>
  <si>
    <t>230120022R00</t>
  </si>
  <si>
    <t>230120025R00</t>
  </si>
  <si>
    <t>Odmašťování potrubí DN 300</t>
  </si>
  <si>
    <t>230120023R00</t>
  </si>
  <si>
    <t>230170015R00</t>
  </si>
  <si>
    <t>Zkouška těsnosti potrubí, DN 250 - 350</t>
  </si>
  <si>
    <t>230170014R00</t>
  </si>
  <si>
    <t>Zkouška těsnosti potrubí, DN 150 - 200</t>
  </si>
  <si>
    <t>;DN 150   ;   50,0    ;  L 50 - L 57</t>
  </si>
  <si>
    <t>;DN 200    ;   316,0   ;   L32+L40+L57-L60</t>
  </si>
  <si>
    <t>230170011R00</t>
  </si>
  <si>
    <t>Zkouška těsnosti potrubí, DN do 40</t>
  </si>
  <si>
    <t>230160124R00</t>
  </si>
  <si>
    <t>Kontrola svaru ultrazvukem, D 300 od 10-25 mm</t>
  </si>
  <si>
    <t>;DN 300  ;  6</t>
  </si>
  <si>
    <t>230160122R00</t>
  </si>
  <si>
    <t>Kontrola svaru ultrazvukem, D 200 od 10-16 mm</t>
  </si>
  <si>
    <t>DN 200   ;   4</t>
  </si>
  <si>
    <t>230160121R00</t>
  </si>
  <si>
    <t>Kontrola svaru ultrazvukem, D 150 od 10-13 mm</t>
  </si>
  <si>
    <t>;DN 20   ;  1</t>
  </si>
  <si>
    <t>230170005R00</t>
  </si>
  <si>
    <t>Příprava pro zkoušku těsnosti, DN 250 - 350</t>
  </si>
  <si>
    <t>sada</t>
  </si>
  <si>
    <t>230170004R00</t>
  </si>
  <si>
    <t>Příprava pro zkoušku těsnosti, DN 150 - 200</t>
  </si>
  <si>
    <t>;DN 200    ;   2</t>
  </si>
  <si>
    <t>230170001R00</t>
  </si>
  <si>
    <t>Příprava pro zkoušku těsnosti, DN do 40</t>
  </si>
  <si>
    <t>230022318R00</t>
  </si>
  <si>
    <t>Montáž trub.dílů přivař.do 3 kg tř.15, 159 x 4,5</t>
  </si>
  <si>
    <t>4   ;   příruba     L 33</t>
  </si>
  <si>
    <t>10   ;   oblouk   L 50-L57+L32</t>
  </si>
  <si>
    <t>1     ;   L 32</t>
  </si>
  <si>
    <t>2     ;  klapka</t>
  </si>
  <si>
    <t>1     ;   průtokoměr</t>
  </si>
  <si>
    <t>141 121VD</t>
  </si>
  <si>
    <t>Příruba přivařovací PN 16 - DN  150</t>
  </si>
  <si>
    <t>4    ;   L 33</t>
  </si>
  <si>
    <t>141131VD</t>
  </si>
  <si>
    <t>1    ;   L 32</t>
  </si>
  <si>
    <t>141 38VD</t>
  </si>
  <si>
    <t>1   ;    L 32</t>
  </si>
  <si>
    <t>141 081VD</t>
  </si>
  <si>
    <t>Trubkový oblouk - koleno varné DIN2605-1 DN150 (159x4,5)</t>
  </si>
  <si>
    <t>10   ;   L 50 - L 57 + L 32</t>
  </si>
  <si>
    <t>230023101R00</t>
  </si>
  <si>
    <t>Montáž trub.dílů přivař.do 10 kg tř.11-13, 219 x 6,3</t>
  </si>
  <si>
    <t>1    ;   L 57  - varná redukce</t>
  </si>
  <si>
    <t>2    ;   L 40   příruba</t>
  </si>
  <si>
    <t>141 1221VD</t>
  </si>
  <si>
    <t>Plochá přivařovací příruba, , DN 200, PN 16</t>
  </si>
  <si>
    <t>2   ;   L 40</t>
  </si>
  <si>
    <t>141 1321121VD</t>
  </si>
  <si>
    <t>1   ;   L 57</t>
  </si>
  <si>
    <t>230023056R00</t>
  </si>
  <si>
    <t>Montáž trub.dílů přivař.do 10 kg tř.11-13, 82,5 x 3,6</t>
  </si>
  <si>
    <t>;DN 80  ;   1   ;  příruba krková</t>
  </si>
  <si>
    <t>;DN 80  ;   1   ;  příruba zaslepovací</t>
  </si>
  <si>
    <t>141 1231VD</t>
  </si>
  <si>
    <t>141 12321VD</t>
  </si>
  <si>
    <t>141 126VD</t>
  </si>
  <si>
    <t>14113VD</t>
  </si>
  <si>
    <t>230022008R00</t>
  </si>
  <si>
    <t>Montáž trub.dílů přivař.do 3 kg tř.11-13, 22 x 2,6</t>
  </si>
  <si>
    <t>8    ;   oblouk  L50-L55</t>
  </si>
  <si>
    <t>6    ;   ventil</t>
  </si>
  <si>
    <t>140 60VD</t>
  </si>
  <si>
    <t>6   ;   L 1, L 20, 2 x L 40, 2 x L 50</t>
  </si>
  <si>
    <t>141 01VD</t>
  </si>
  <si>
    <t>Trubkový oblouk - koleno varné DN 20</t>
  </si>
  <si>
    <t>8    ;   L 50 - L 55</t>
  </si>
  <si>
    <t>230030002R00</t>
  </si>
  <si>
    <t>Montáž trubních dílů přírubových do 10 kg</t>
  </si>
  <si>
    <t>8   ;   kompenzátor</t>
  </si>
  <si>
    <t>140 70VD</t>
  </si>
  <si>
    <t>Axiální kompen., butylová pryž s nylon.kordem, do 100°C, přírubový ,pro transport termominerální vody, ax. posuv 30/20mm, boční pos 30mm,  TG-E-RE-200</t>
  </si>
  <si>
    <t>8   ;   kolektor Thermal</t>
  </si>
  <si>
    <t>141 1235VD</t>
  </si>
  <si>
    <t>2022</t>
  </si>
  <si>
    <t>230032033R00</t>
  </si>
  <si>
    <t>Montáž přírubových spojů do PN 16, DN 200</t>
  </si>
  <si>
    <t>8*2   ;  kompenzátor</t>
  </si>
  <si>
    <t>230050004R00</t>
  </si>
  <si>
    <t>141 9113VD</t>
  </si>
  <si>
    <t>10,0   ;   L 34 - L 40   -  volné</t>
  </si>
  <si>
    <t>141 9112VD</t>
  </si>
  <si>
    <t>141 9111VD</t>
  </si>
  <si>
    <t>141 9233VD</t>
  </si>
  <si>
    <t>Podpěra kluzná s osovým vedením pro posuvné uložení tepelně izolovaného potrubí z ocelových trubek  DN150.</t>
  </si>
  <si>
    <t>1     ;    L 50 - L 55</t>
  </si>
  <si>
    <t>141 9234VD</t>
  </si>
  <si>
    <t>Podpěra kluzná pro posuvné uložení tepelně izolovaného potrubí z ocelových trubek  DN150.</t>
  </si>
  <si>
    <t>9      ;   L 50 - L 55</t>
  </si>
  <si>
    <t>3   ;   L 32- L 37 - L 57 - L70  - pevný bod</t>
  </si>
  <si>
    <t>4,0  ;  L 1 - L 32  - pevný bod</t>
  </si>
  <si>
    <t>1   ;  L 30- L 40 - axiální</t>
  </si>
  <si>
    <t>230 10VD</t>
  </si>
  <si>
    <t>Přesun a výpomoce</t>
  </si>
  <si>
    <t>141 00VD</t>
  </si>
  <si>
    <t>Drobný montážní a spojovací materiál, ztratné</t>
  </si>
  <si>
    <t>M23-P</t>
  </si>
  <si>
    <t>Monráže potrubí - provizorní rozvod</t>
  </si>
  <si>
    <t>M23-P_</t>
  </si>
  <si>
    <t>230011008R00</t>
  </si>
  <si>
    <t>Montáž trubky ocelové 22  x 2,6</t>
  </si>
  <si>
    <t>14110911</t>
  </si>
  <si>
    <t>Trubka bezešvá hladká 11 353, rozměr 22,0 x 2,6 mm</t>
  </si>
  <si>
    <t>230023088R00</t>
  </si>
  <si>
    <t>Montáž trub.dílů přivař.do 10 kg tř.11-13, 159 x 4,5</t>
  </si>
  <si>
    <t>1    ;   PB 2            -   varná redukce</t>
  </si>
  <si>
    <t>1    ;   L 25            -   T-kus</t>
  </si>
  <si>
    <t>1    ;   L 17            -   T-kus</t>
  </si>
  <si>
    <t>4   ;   U-kompenzátor - Školní lávka   - oblouk</t>
  </si>
  <si>
    <t>1   ;  L 18               -   T-kus</t>
  </si>
  <si>
    <t>1    ;   L 11             -   T-kus</t>
  </si>
  <si>
    <t>141 132111VD</t>
  </si>
  <si>
    <t>141 31156VD</t>
  </si>
  <si>
    <t>T-kus varný  150/150/150 mm</t>
  </si>
  <si>
    <t>4   ;   U-kompenzátor - Školní lávka</t>
  </si>
  <si>
    <t>T-kus varný 150/20/150</t>
  </si>
  <si>
    <t>T-kus varný 150/65/150</t>
  </si>
  <si>
    <t>T-kus varný 150/100/150 mm</t>
  </si>
  <si>
    <t>M23-D</t>
  </si>
  <si>
    <t>Demontáže potrubí</t>
  </si>
  <si>
    <t>230083134R00</t>
  </si>
  <si>
    <t>Demontáž do šrotu do 250 kg, rozměr 377 x 9</t>
  </si>
  <si>
    <t>M23-D_</t>
  </si>
  <si>
    <t>230082100R00</t>
  </si>
  <si>
    <t>Demontáž do šrotu do 50 kg, rozměr 219 x 6,3</t>
  </si>
  <si>
    <t>;DN 200   ;    4,0    ;  1 m = 50 kg/m   -  stávající TMV</t>
  </si>
  <si>
    <t>230082087R00</t>
  </si>
  <si>
    <t>Demontáž do šrotu do 50 kg, rozměr 159 x 4,5</t>
  </si>
  <si>
    <t>230081008R00</t>
  </si>
  <si>
    <t>Demontáž do šrotu do 10 kg, rozměr 22 x 2,6</t>
  </si>
  <si>
    <t>230082101R00</t>
  </si>
  <si>
    <t>Demontáž do šrotu do 50 kg, rozměr 219 x 8</t>
  </si>
  <si>
    <t>Celkem:</t>
  </si>
  <si>
    <t>Poznámka:</t>
  </si>
  <si>
    <t>Stavební rozpočet - Jen podskupiny</t>
  </si>
  <si>
    <t>T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</si>
  <si>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</si>
  <si>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</si>
  <si>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</si>
  <si>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</si>
  <si>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</si>
  <si>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</si>
  <si>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</si>
  <si>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</si>
  <si>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</si>
  <si>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</si>
  <si>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</si>
  <si>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</si>
  <si>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</si>
  <si>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</si>
  <si>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</si>
  <si>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</si>
  <si>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</si>
  <si>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</si>
  <si>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</si>
  <si>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Vytýčení inž. sítí</t>
  </si>
  <si>
    <t>Provozní vlivy</t>
  </si>
  <si>
    <t>"M"</t>
  </si>
  <si>
    <t>Vytýčení stavby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</si>
  <si>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</si>
  <si>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</si>
  <si>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</si>
  <si>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</si>
  <si>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</si>
  <si>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</si>
  <si>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</si>
  <si>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</si>
  <si>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</si>
  <si>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</si>
  <si>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</si>
  <si>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</si>
  <si>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</si>
  <si>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</si>
  <si>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</si>
  <si>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</si>
  <si>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</si>
  <si>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</si>
  <si>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</si>
  <si>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</si>
  <si>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</si>
  <si>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</si>
  <si>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</si>
  <si>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</si>
  <si>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</si>
  <si>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</si>
  <si>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</si>
  <si>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</si>
  <si>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</si>
  <si>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</si>
  <si>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</si>
  <si>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</si>
  <si>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</si>
  <si>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ALFA-projekt, s.r.o., K Panelárně 172, 352 32 Otovice</t>
  </si>
  <si>
    <t>Uložení pro přediz. potrubí, volné, podpěra pro vyšší zatížení pro přímé nasazení na PE opláštění, nerez, včetně kluzné desky PTFE se souč. smyk. tření 0,05-0,08, nátěr oc. prvků prášková černá barva, DN 200/315</t>
  </si>
  <si>
    <t>Uložení pro přediz. potrubí, volné, podpěra pro vyšší zatížení pro přímé nasazení na PE opláštění, nerez, včetně kluzné desky PTFE se souč. smyk. tření 0,05-0,08, nátěr oc. prvků prášková černá barva, DN 200/400</t>
  </si>
  <si>
    <t>Uložení pro přediz. potrubí, pevný bod, podpěra pro vyšší zatížení pro přímé nasazení na PE opláštění, nerez, nátěr oc. prvků prášková černá barva, DN 200/400</t>
  </si>
  <si>
    <t>Uložení pro přediz. potrubí, s axiálním vedením, podpěra pro vyšší zatížení pro přímé nasazení na PE opláštění, nerez, včetně kluzné desky PTFE se souč. smyk. tření 0,05-0,08, nátěr oc. prvků prášková černá barva, DN 200/315</t>
  </si>
  <si>
    <t>Uložení pro přediz. potrubí, s axiálním vedením, podpěra pro vyšší zatížení pro přímé nasazení na PE opláštění, nerez, včetně kluzné desky PTFE se souč. smyk. tření 0,05-0,08, nátěr oc. prvků prášková černá barva, DN 200/400</t>
  </si>
  <si>
    <t>Uložení pro přediz. potrubí, s axiálním vedením, podpěra pro vyšší zatížení pro přímé nasazení na PE opláštění, nerez, včetně kluzné desky PTFE se souč. smyk. tření 0,05-0,08, nátěr oc. prvků prášková černá barva, DN 300/560</t>
  </si>
  <si>
    <t>Uložení pro přediz. potrubí, s axiálním a vertikálním vedením, podpěra pro vyšší zatížení pro přímé nasazení na PE opláštění, nerez, včetně kluzné desky PTFE se souč. smyk. tření 0,05-0,08, nátěr oc. prvků prášková černá barva, DN 300/560</t>
  </si>
  <si>
    <t>Uložení pro přediz. potrubí, pevný bod, podpěra pro vyšší zatížení pro přímé nasazení na PE opláštění, nerez, nátěr oc. prvků prášková černá barva, DN 300/560</t>
  </si>
  <si>
    <t>Uložení pro přediz. potrubí, volné, podpěra pro vyšší zatížení pro přímé nasazení na PE opláštění, nerez, včetně kluzné desky PTFE se souč. smyk. tření 0,05-0,08, nátěr oc. prvků prášková černá barva, DN 300/560</t>
  </si>
  <si>
    <t>141 9114VD</t>
  </si>
  <si>
    <t>141 9115VD</t>
  </si>
  <si>
    <t>141 9116VD</t>
  </si>
  <si>
    <t>141 9117VD</t>
  </si>
  <si>
    <t>141 9118VD</t>
  </si>
  <si>
    <t>141 9119VD</t>
  </si>
  <si>
    <t>Uložení pro přediz. potrubí, závěs pro vyšší zatížení pro přímé nasazení na PE opláštění, nerez, táhlo galv. zinek, nátěr oc. prvků prášková černá barva, DN 200/400</t>
  </si>
  <si>
    <t>Uložení pro přediz. potrubí, závěs pro vyšší zatížení pro přímé nasazení na PE opláštění, nerez, táhlo galv. zinek, nátěr oc. prvků prášková černá barva, DN 300/560</t>
  </si>
  <si>
    <t>2*2   ;  sekční uzávěry</t>
  </si>
  <si>
    <t xml:space="preserve">Příruba krková  PK KRK PN16 DN80	</t>
  </si>
  <si>
    <t>Varná redukce DN 200 x DN 150 (219,1 x 168,3mm)</t>
  </si>
  <si>
    <t>2   ;  přes montážní rýhu</t>
  </si>
  <si>
    <t>(739,1-723,1)*1,50   ;  Hochbergerova lávka</t>
  </si>
  <si>
    <t>;Nové konzole I 140  = 0,506 m2  ;  8*0,9*0,506</t>
  </si>
  <si>
    <t>;konzoly  I č 140  =  0,532 m2  ;  35*0,9*0,532</t>
  </si>
  <si>
    <t>;konzoly  U č 120  =  0,446 m2  ;  10*0,9*0,446</t>
  </si>
  <si>
    <t>;U 120  ;  10,0*13,4   ;   pom. konstr. ucp. komp.  - provizor</t>
  </si>
  <si>
    <t>;U 120  ;  6,0*1,31*13,4   ;   L3 - L 4,  6 x závěsy potrubí</t>
  </si>
  <si>
    <t>;konzoly  I č 120  =  0,462 m2  ;  100*0,9*0,462</t>
  </si>
  <si>
    <t>;L 34 - L 37  + L 38 - L 40  ;   59,25*1,5*(0,05+0,08)/2  ;  nad izolaci kanálu</t>
  </si>
  <si>
    <t>723,1*1,5</t>
  </si>
  <si>
    <t>Demontáž prefabrikovaných krycích desek do 0,09 t - použijí se zpět</t>
  </si>
  <si>
    <t>;L 34 - L 37 a L 38 - L 40  ;  27,0*2,0*0,4</t>
  </si>
  <si>
    <t>Zazdívka otvorů plochy do 1 m2, ve zdivu</t>
  </si>
  <si>
    <t>;L 34 - L 37  + L 38 - L 40  + L50 - L51 ;   60,35*1,3</t>
  </si>
  <si>
    <t>soubor</t>
  </si>
  <si>
    <t>7   ;  L 1 - L 32 - axiální a vertikální</t>
  </si>
  <si>
    <t>23,0   ;   L 32- L 37 - L 57 - L70   -   axiální</t>
  </si>
  <si>
    <t>42,0   ;   L 1 - L 32  -  axiální</t>
  </si>
  <si>
    <t>1 * 7,8    ;    L 50 - L 55 - axiální</t>
  </si>
  <si>
    <t>9 * 7,8     ;   L 50 - L 55 - volné</t>
  </si>
  <si>
    <t>Trubkový oblouk 3D - koleno varné DIN2605-1 DN150 (159x4,5) - 90°</t>
  </si>
  <si>
    <t>Trubkový oblouk 3D - koleno varné DIN2605-1 DN150 (159x4,5) -15°</t>
  </si>
  <si>
    <t>141 31159VD</t>
  </si>
  <si>
    <t>141 31157VD</t>
  </si>
  <si>
    <t>Trubkový oblouk 3D - koleno varné DIN2605-1 DN150 (159x4,5) -30°</t>
  </si>
  <si>
    <t>111201101R00</t>
  </si>
  <si>
    <t>Odstranění křovin i s kořeny na ploše do 1000 m2</t>
  </si>
  <si>
    <t>184102112R00</t>
  </si>
  <si>
    <t>Výsadba dřevin s balem D do 30 cm, v rovině, vč jamky</t>
  </si>
  <si>
    <t>02652025</t>
  </si>
  <si>
    <t>Keře - dle výběru</t>
  </si>
  <si>
    <t>38</t>
  </si>
  <si>
    <t>Různé kompletní konstrukce nedělitelné do stav. dílů</t>
  </si>
  <si>
    <t>388129720R00</t>
  </si>
  <si>
    <t>Montáž prefa.kanálů ze ŽB, krycích desek do 1 t - zpětné zakrytí kanálu původní desky</t>
  </si>
  <si>
    <t>38_</t>
  </si>
  <si>
    <t>16+3</t>
  </si>
  <si>
    <t>732199100RM1</t>
  </si>
  <si>
    <t>Montáž orientačního štítku - včetně dodávky štítku  (na konzole)</t>
  </si>
  <si>
    <t>998732201R00</t>
  </si>
  <si>
    <t>Přesun hmot pro strojovny, výšky do 6 m</t>
  </si>
  <si>
    <t>734100814R00</t>
  </si>
  <si>
    <t>Demontáž armatur se dvěma přírubami do DN 200</t>
  </si>
  <si>
    <t>1      ;  armatura se servopohonem v kolektoru Thermal</t>
  </si>
  <si>
    <t xml:space="preserve">SPECIFIKACE - předizolované potrubí </t>
  </si>
  <si>
    <t>Technické parametry :</t>
  </si>
  <si>
    <t>s alarmem</t>
  </si>
  <si>
    <t>Materiál - ocel, serie 1+3</t>
  </si>
  <si>
    <r>
      <t>T</t>
    </r>
    <r>
      <rPr>
        <b/>
        <vertAlign val="subscript"/>
        <sz val="12"/>
        <rFont val="Arial CE"/>
        <family val="2"/>
        <charset val="238"/>
      </rPr>
      <t>max</t>
    </r>
    <r>
      <rPr>
        <b/>
        <sz val="12"/>
        <rFont val="Arial CE"/>
        <family val="2"/>
        <charset val="238"/>
      </rPr>
      <t>=</t>
    </r>
  </si>
  <si>
    <t>75</t>
  </si>
  <si>
    <r>
      <t>p</t>
    </r>
    <r>
      <rPr>
        <b/>
        <vertAlign val="subscript"/>
        <sz val="12"/>
        <rFont val="Arial CE"/>
        <family val="2"/>
        <charset val="238"/>
      </rPr>
      <t>max</t>
    </r>
    <r>
      <rPr>
        <b/>
        <sz val="12"/>
        <rFont val="Arial CE"/>
        <family val="2"/>
        <charset val="238"/>
      </rPr>
      <t xml:space="preserve"> =</t>
    </r>
  </si>
  <si>
    <t>Komp.</t>
  </si>
  <si>
    <t>DN</t>
  </si>
  <si>
    <t>L</t>
  </si>
  <si>
    <t>Pol</t>
  </si>
  <si>
    <t>Název</t>
  </si>
  <si>
    <t>číslo</t>
  </si>
  <si>
    <t>mm</t>
  </si>
  <si>
    <t>Předizolované potrubí, serie 3</t>
  </si>
  <si>
    <t>Trubka přímá 12 m</t>
  </si>
  <si>
    <t>323/560</t>
  </si>
  <si>
    <t>219/400</t>
  </si>
  <si>
    <t>26/125</t>
  </si>
  <si>
    <t>Trubka přímá 6 m</t>
  </si>
  <si>
    <t>Trubka radius 5°, 12 m</t>
  </si>
  <si>
    <t>2005</t>
  </si>
  <si>
    <t>Trubka radius 8°, 12 m</t>
  </si>
  <si>
    <t>Koleno 90° (1,5 x 1,5 m )</t>
  </si>
  <si>
    <t>Koleno 90° (1,0 x 1,0 m )</t>
  </si>
  <si>
    <t>Koleno 90° (0,75 x 1,25 m )</t>
  </si>
  <si>
    <t>Koleno 22° (0,6 x 0,6 m )</t>
  </si>
  <si>
    <t>Koleno 15° (0,6 x 0,6 m )</t>
  </si>
  <si>
    <t>Koleno 12° (0,6 x 0,6 m )</t>
  </si>
  <si>
    <t>Koleno 10° (0,6 x 0,6 m )</t>
  </si>
  <si>
    <t>Koleno 8° (0,6 x 0,6 m )</t>
  </si>
  <si>
    <t>Koleno 75° (0,6 x 0,6 m )</t>
  </si>
  <si>
    <t>Tkus přímý zesílený, 1,5 m</t>
  </si>
  <si>
    <t>3400</t>
  </si>
  <si>
    <t>323/560-168/315</t>
  </si>
  <si>
    <t>323/560-114/250</t>
  </si>
  <si>
    <t>323/560-89/200</t>
  </si>
  <si>
    <t>323/560-76/180</t>
  </si>
  <si>
    <t>323/560-26/125</t>
  </si>
  <si>
    <t>Tkus paralelní zesílený, 1,5 m</t>
  </si>
  <si>
    <t>3600</t>
  </si>
  <si>
    <t>Redukce předizolovaná, 1,5 m</t>
  </si>
  <si>
    <t>4900</t>
  </si>
  <si>
    <t>323/560-219/400</t>
  </si>
  <si>
    <t>Předizolovaný axiální stálečinný kompenzátor, e=125 mm, PN 16, 3,0 m</t>
  </si>
  <si>
    <t>4000</t>
  </si>
  <si>
    <t>Dvojnásobně těsněná tepelně izolační spojka s izolačními poloskružemi BX</t>
  </si>
  <si>
    <t>Dvojnásobně těsněná tepelně izolační spojka s izolačními poloskružemi montážní C2L</t>
  </si>
  <si>
    <t>5035</t>
  </si>
  <si>
    <t>Koncová manžeta izolace</t>
  </si>
  <si>
    <t>Koncová manžeta izolace DHEC 2900</t>
  </si>
  <si>
    <t>Koncová manžeta izolace DHEC 2800</t>
  </si>
  <si>
    <t>168/315</t>
  </si>
  <si>
    <t>Koncová manžeta izolace DHEC 2700</t>
  </si>
  <si>
    <t>114/250</t>
  </si>
  <si>
    <t>Koncová manžeta izolace DHEC 2600</t>
  </si>
  <si>
    <t>89/200</t>
  </si>
  <si>
    <t>Koncová manžeta izolace DHEC 2500</t>
  </si>
  <si>
    <t>76/180</t>
  </si>
  <si>
    <t>Koncová manžeta izolace DHEC 2200</t>
  </si>
  <si>
    <t>Těsnění labyrintové</t>
  </si>
  <si>
    <t>Předizolované potrubí, serie 1</t>
  </si>
  <si>
    <t>219/315</t>
  </si>
  <si>
    <t>26/90</t>
  </si>
  <si>
    <t>Koleno 60° (1,0 x 1,0 m )</t>
  </si>
  <si>
    <t>219/315-26/90</t>
  </si>
  <si>
    <t>Koncová manžeta izolace DHEC 2000</t>
  </si>
  <si>
    <t>Pájecí spojky mon. vodičů</t>
  </si>
  <si>
    <t>6603</t>
  </si>
  <si>
    <t>Dilatační polštáře</t>
  </si>
  <si>
    <t>1000x2000x40</t>
  </si>
  <si>
    <t>Vývody alarmu z konc. manžety</t>
  </si>
  <si>
    <t>8070</t>
  </si>
  <si>
    <t>Měření alarmu</t>
  </si>
  <si>
    <t>Měřící ústředna alarmu</t>
  </si>
  <si>
    <t>Nástěnná krabice IP 67 vč. napojovacího kabelu Cyky 3x1,5mm2 a vkládací lišty</t>
  </si>
  <si>
    <t xml:space="preserve">Dodávka </t>
  </si>
  <si>
    <t>Trasa</t>
  </si>
  <si>
    <t>Dodací lhůta: 3-4 týdny, ax. komp. 10-12 týdnů po objednání</t>
  </si>
  <si>
    <t xml:space="preserve">Specifikaci nutno před objednáním odsouhlasit se SPLZaK!
Referenční produkt : Krohne OPTIFLUX 4300 W
Magneticko-indukční průtokoměr OPTIFLUX 4300 W, přesný a spolehlivý průtokoměr pro všestranné použití zejména v chemii, energetice a vodním hospodářství , oddělené provedení, snímač OPTIFLUX 4000 a převodník IFC 300W jsou propojeny signálním a budicím kabelem, signální kabel součástí dodávky,vhodný i pro náročné aplikace s nízkou vodivostí, pro vysoké teploty, agresivní média s obsahem pevných částic, pro dávkování a pulzující průtoky, přesnost měření lepší než ± 0,2% z měřené hodnoty  1 mm/s (DN 10...1600), resp.± 0,3% z měřené hodnoty  2 mm/s (DN 2,5 až 6 a &gt; DN 1600), s grafickým displejem a možností programování všech parametrů pomocí 4 tlačítek, zobrazení okamžitého průtoku, součtového množství a vodivosti, možnost nastavení potlačení malých průtoků, rozlišení směru proudění, indikace prázdné měřicí trubice, mikroprocesorově řízené zpracování signálu, interní diagnostika – měření vodivosti a teploty měřené kapaliny, usazeniny na výstelce, interní kontrola linearity převodníku, přítomnost vnějších rušivých magnetických polí, s ověřením podle Certifikátu o schválení typu měřidla, DN150, PN16 příruby dle EN 1092-1, na termominerální vodu 75°C, výstelka - PFA, měřicí trubice - austenitická korozivzdorná ocel, materiál elektrod - Hastelloy C22, komunikační sběrnice Modbus, proudový výstup 4 - 20 mA, programovatelný, aktivní, pulzní/frekvenční výstup 10 pulz/1 m3, pasivní programovatelný, aktivní max. 32 Vss / 0,1 A, max. 10 kHz nebo pulzy na jednotku objemu nebo diagnostika, napájení : 230 Vstř, krytí snímače IP66/67, krytí převodníku IP65, s místním ukazováním, se zemnicími kroužky, s kalibračním protokolem pro stanovené měřidlo dle TCM 142/06-4328, s propojovacím (signální) kabelem 5 m, typ DS, závity pro vývodky 3x M20 x 1,5, 2 vývodky a 1 záslepka součástí dodávky 
 </t>
  </si>
  <si>
    <t>Příruba zaslepovací EN1092-1 DN65 PN6</t>
  </si>
  <si>
    <t xml:space="preserve">HL.III - Rozbor nákladů </t>
  </si>
  <si>
    <t>Karlovy Vary, Výměna gravitačního řádu termominerální vody</t>
  </si>
  <si>
    <t>SO 01 - Potrubní rozvody</t>
  </si>
  <si>
    <t xml:space="preserve">Zemní, stavební a bourací práce, výkopy, pískové lože, zához, </t>
  </si>
  <si>
    <t>odvoz na skládku, dopr. opatření, zajištění staveniště, přesuny hmot</t>
  </si>
  <si>
    <t>DN 300/560, 200/400</t>
  </si>
  <si>
    <t>Lešení v korytě řeky, dodávka, montáž, demontáž</t>
  </si>
  <si>
    <t>Izolované potr, dodávka, montáž</t>
  </si>
  <si>
    <t>Oprava stávajících konzolí, narovnání, očištění, nátěr</t>
  </si>
  <si>
    <t>Demontáž stáv. potrubí, likvidace</t>
  </si>
  <si>
    <t>DN 350, 300</t>
  </si>
  <si>
    <t xml:space="preserve">Provizorní vedení </t>
  </si>
  <si>
    <t>(potrubí - dodávka a montáž, potrubí, tvarovky, alarm)</t>
  </si>
  <si>
    <t>SO 01  celkem</t>
  </si>
  <si>
    <t>SO 02 - Sdělovací a napájecí kabely</t>
  </si>
  <si>
    <t>Kabely, chráničky, dodávka, montáž, revize</t>
  </si>
  <si>
    <t xml:space="preserve">Napájecí a ovládací kabely servisních armatur </t>
  </si>
  <si>
    <t>SO 02  celkem</t>
  </si>
  <si>
    <t>HLAVA III celkem</t>
  </si>
  <si>
    <t>VEDLEJŠÍ NÁKLADY</t>
  </si>
  <si>
    <t>Zemní práce,  předizolované potrubí, izolované potrubí</t>
  </si>
  <si>
    <t>ZS</t>
  </si>
  <si>
    <t>Provoz investora</t>
  </si>
  <si>
    <t>HLAVA VI celkem</t>
  </si>
  <si>
    <t>KOMPLETAČNÍ ČINNOST</t>
  </si>
  <si>
    <t>HLAVA IX celkem</t>
  </si>
  <si>
    <t xml:space="preserve">STAVBA: </t>
  </si>
  <si>
    <t>Celkové náklady stavby ( v Kč bez DPH )</t>
  </si>
  <si>
    <t>HL.I</t>
  </si>
  <si>
    <t>Projektové a průzkumné práce</t>
  </si>
  <si>
    <t>Výrobní dokumentace</t>
  </si>
  <si>
    <t>Dokumentace skutečného provedení</t>
  </si>
  <si>
    <t>Geodetické zaměření provedené stavby, geometrický plán</t>
  </si>
  <si>
    <t>HL.II</t>
  </si>
  <si>
    <t>Provozní soubory</t>
  </si>
  <si>
    <t>-</t>
  </si>
  <si>
    <t>HL.III</t>
  </si>
  <si>
    <t>Stavební objekty</t>
  </si>
  <si>
    <t>HL.IV</t>
  </si>
  <si>
    <t>Stroje,zařízení,nářadí,inventář</t>
  </si>
  <si>
    <t>HL.V</t>
  </si>
  <si>
    <t>Umělecká díla</t>
  </si>
  <si>
    <t>HL.VI</t>
  </si>
  <si>
    <t>Vedlejší rozpočt. náklady celkem</t>
  </si>
  <si>
    <t>HL.VII</t>
  </si>
  <si>
    <t>Ostatní náklady</t>
  </si>
  <si>
    <t>HL.VIII</t>
  </si>
  <si>
    <t>Rezerva</t>
  </si>
  <si>
    <t>HL.IX</t>
  </si>
  <si>
    <t>Jiné investice</t>
  </si>
  <si>
    <t>HL.X</t>
  </si>
  <si>
    <t>Náklady hrazené z invest. prostředků</t>
  </si>
  <si>
    <t>nezahrnované do ZP</t>
  </si>
  <si>
    <t>HL.XI</t>
  </si>
  <si>
    <t>Kompletační činnost</t>
  </si>
  <si>
    <t>Celkem ( bez DPH )</t>
  </si>
  <si>
    <t>Uložení potrubí nerez, dodávka, montáž</t>
  </si>
  <si>
    <t>Předizolované potrubí - alarm</t>
  </si>
  <si>
    <t>Dodávka a montáž optických kabelů</t>
  </si>
  <si>
    <t>Izolace tepelná armatur vrstvená, snímatelná, DN 150</t>
  </si>
  <si>
    <t>;Nové svislé vedení U120  ;  7*2,05*13,4</t>
  </si>
  <si>
    <t>Objímka dvoušroubová, upínací sestava, FRS+ - pro DN 150</t>
  </si>
  <si>
    <t>;Nové svislé vedení U120  = 0,446 m2/m  ;  7*2,05*0,446</t>
  </si>
  <si>
    <t>2,6165                  ;  beton</t>
  </si>
  <si>
    <t>67,0   ;   L 32 - L 34  + L57 - L60-  volné</t>
  </si>
  <si>
    <t>144,0    ;   L 1 - L 32 - volné</t>
  </si>
  <si>
    <t>Varná redukce DN 200 x DN 150 (219,1 x 159 mm)</t>
  </si>
  <si>
    <t>;DN 20  ;  1,0   ;   1 m = 1,66 kg/m  t. j. 1 kus =  2,0 m  x 1,66 kg/m = 3,32 kg/m</t>
  </si>
  <si>
    <t>230083122R00</t>
  </si>
  <si>
    <t>Demontáž do šrotu do 250 kg, 324 x 8</t>
  </si>
  <si>
    <t>;DN 300  ;  8,0            ;        L 50 v kolektoru  stávající rozvod</t>
  </si>
  <si>
    <t>;DN 300  ;  371,8     ;     1 m = 150,0 kg/m - stávající rozvod</t>
  </si>
  <si>
    <t>8   ;    axiálních kompenzátorů v kolektoru</t>
  </si>
  <si>
    <t>141 132112VD</t>
  </si>
  <si>
    <t>Varná redukce DN 300 x DN 150 (323,9 x 159 mm</t>
  </si>
  <si>
    <t>Varná redukce DN 350 x DN 150 (377 x 159 mm</t>
  </si>
  <si>
    <t>1    ;   PB 2 - 2. etapa</t>
  </si>
  <si>
    <t>1    ;   PB 2 - 1. etapa</t>
  </si>
  <si>
    <t>1    ;   L 25 - 1. etapa</t>
  </si>
  <si>
    <t>1   ;  L 18 - 1. etapa</t>
  </si>
  <si>
    <t>1    ;   L 17 - 2. etapa</t>
  </si>
  <si>
    <t>Odmašťování potrubí DN 200</t>
  </si>
  <si>
    <t>Odmašťování potrubí DN 150</t>
  </si>
  <si>
    <t>325,8   ;   L32-L40+L57-L60</t>
  </si>
  <si>
    <t>;DN 150   ;   1</t>
  </si>
  <si>
    <t>2   ;   Kolektor Thermal L 40 + SU</t>
  </si>
  <si>
    <t>636,0   ;</t>
  </si>
  <si>
    <t>;DN 150   ;  447,0 / 5,0       ;   1 m = 17,20 kg/m , t.j. 5,0 m x 17,2 kg/m = 86,0 kg/kus - provizor pro další etapu</t>
  </si>
  <si>
    <t>4   ;  PB2</t>
  </si>
  <si>
    <t>4   ;  PB2        -  oblouk</t>
  </si>
  <si>
    <t>141 082VD</t>
  </si>
  <si>
    <t>141 083VD</t>
  </si>
  <si>
    <t>141 084VD</t>
  </si>
  <si>
    <t>7   ;  L 19 - L20        -  oblouk</t>
  </si>
  <si>
    <t>5    ;  odvzdušnění  - provizor</t>
  </si>
  <si>
    <t>2   ;   provizor</t>
  </si>
  <si>
    <t>8     ;    ke kompenzátorům</t>
  </si>
  <si>
    <t>8    ;                     -   Uložení</t>
  </si>
  <si>
    <t>14   ;                       -  koleno</t>
  </si>
  <si>
    <t>8    ;    L 3 - L 4 + L 29</t>
  </si>
  <si>
    <t>Objímka dvoušroubová, upínací sestava, ODS - pro potrubí průměru 159 - 162 mm</t>
  </si>
  <si>
    <t>(0,14+0,315+0,14)*3,14*(559,0+8,0)      ;  DN 300     stávající TMV</t>
  </si>
  <si>
    <t>(0,03+0,022+0,03)*3,14*2,0            ; DN 20      provizor</t>
  </si>
  <si>
    <t>(0,06+0,159+0,06)*3,14*(447,0+318,0+253,2-50,0)   ;  DN 150     provizor</t>
  </si>
  <si>
    <t>;DN 150  ;    (0,12+0,159+0,12)*3,14*50,0   ;  L 50 - L 57</t>
  </si>
  <si>
    <t>Kompenzátor ucpávkový M 10-010-540, PN 16, +-z=75 mm, DN 150</t>
  </si>
  <si>
    <t>;DN 150  ;  (0,06+0,159+0,06)*3,14*(255,0+318,0+253,2+192,0-50,0)   ;   provizor</t>
  </si>
  <si>
    <t>6    ;   odvzd. nádoba</t>
  </si>
  <si>
    <t>141 3512VD</t>
  </si>
  <si>
    <t>Clamp - těsnění   silikon DN 25</t>
  </si>
  <si>
    <t>141 3511VD</t>
  </si>
  <si>
    <t>141 34VD</t>
  </si>
  <si>
    <t>12   ;   odvzdušnění</t>
  </si>
  <si>
    <t>12   ;   spoje Clamp</t>
  </si>
  <si>
    <t>Clamp -  Hrdlo nerez AISI 316, DN 25, talířek 50,5</t>
  </si>
  <si>
    <t>Clamp  - objímka ,nerez AISI 304,   DN  25</t>
  </si>
  <si>
    <t>Stojan kotevní přivařovací, DN 150, ON 130857</t>
  </si>
  <si>
    <t>Podpěra kluzná s osovým vedením pro posuvné uložení tepelně izolovaného potrubí z ocelových trubek  DN 150.</t>
  </si>
  <si>
    <t>;DN 150  ;  (447,0+318,0+253,2-50,0) / 5,0        ;  1 m = 17,2 kg/m  t.j. 5,0 m x 17,20 kg/m  =  86,0 kg/kus - celá trasa bez Pošt.mostu - skládka</t>
  </si>
  <si>
    <t>144,0 * 24,8   ;   L 1 - L 32 - volné</t>
  </si>
  <si>
    <t>67 * 14,6  ;   L 32 - L 37  + L57 - L60  -  volné</t>
  </si>
  <si>
    <t>10,0 * 11,0  ;   L 37 - L 40   -  volné</t>
  </si>
  <si>
    <t>4,0 * 54,0 ;  L 1 - L 32   pevný bod</t>
  </si>
  <si>
    <t>3 * 29,0  ;   L 32- L 37 - L 57 - L60  - pevný bod</t>
  </si>
  <si>
    <t>42,0 * 25,6  ;   L 1 - L 32  -  axiální</t>
  </si>
  <si>
    <t>23,0 * 12,0  ;   L 32 - L 37  + L57 - L60   -   axiální</t>
  </si>
  <si>
    <t>1 * 26,0  ;  L 32- L 40 - axiální</t>
  </si>
  <si>
    <t>7 * 38,0  ;  L 1 - L 32 - axiální + vertikální</t>
  </si>
  <si>
    <t>Montáž uložení potrubí do DN 350</t>
  </si>
  <si>
    <t>Dodavatel</t>
  </si>
  <si>
    <t>PČ</t>
  </si>
  <si>
    <t>Typ</t>
  </si>
  <si>
    <t>Popis</t>
  </si>
  <si>
    <t>J.cena [CZK]</t>
  </si>
  <si>
    <t>Cena celkem [CZK]</t>
  </si>
  <si>
    <t>Náklady soupisu celkem</t>
  </si>
  <si>
    <t>D</t>
  </si>
  <si>
    <t>Rozvaděče</t>
  </si>
  <si>
    <t>RNET1A; RNET1.1; RNET5.2; RNET5; RNET5.4</t>
  </si>
  <si>
    <t>PP</t>
  </si>
  <si>
    <t>Kompaktní rozváděčová skříň, ŠxVxH: 600x600x210 mm, nerez ocel 1.4301, s montážní deskou, s jednokřídlými dveřmi, 2 otočné uzávěryRozvaděčová skříň 600x600x210 mm, nerez ocel,  
Skříň a dveře: jemně zbroušený povrch, zrnitost 400, hloubka zrnitosti RA &lt; 0,8 μm
Montážní deska: pozinkovaná
Dveře: nerez ocel, po obvodu polyuretanové pěnové těsnění
Šířka: 200 mm Výška: 200 mm Hloubka: 210 mm
Tloušťka materiálu dveří 1,5 mm
Tloušťka materiálu skříně1,25 mm
Tloušťka materiálu montážní desky 2,5 mm
Rozměry montážní desky (550 mm x 575 mm)
Provedení uzávěru: 3-bodový uzavírací systém
Netto hmotnost 19 kg
Stupeň krytí IP dle normy EN 60 529 IP 66
referenční výrobek Rittal  AX 1017.000</t>
  </si>
  <si>
    <t>IGS-624HPT</t>
  </si>
  <si>
    <t>Periferní zařízení</t>
  </si>
  <si>
    <t>Comet T6641</t>
  </si>
  <si>
    <t>Prostorová čidla rel. vlhkosti / teploty a CO2,websenzor s PoE</t>
  </si>
  <si>
    <t>1910</t>
  </si>
  <si>
    <t>DMP331Pi</t>
  </si>
  <si>
    <t>Kabelové rozvody metalické</t>
  </si>
  <si>
    <t>CYKY 3Jx1,5</t>
  </si>
  <si>
    <t>Kabel CYKY 3Jx1,5</t>
  </si>
  <si>
    <t>JYTY2x2x1</t>
  </si>
  <si>
    <t xml:space="preserve">Kabel JYTY 2x2x1 </t>
  </si>
  <si>
    <t>BUS 1x2x0,22</t>
  </si>
  <si>
    <t>Kabel 1 PAR 1x2x0,22 cat.3</t>
  </si>
  <si>
    <t>FTP Cat6</t>
  </si>
  <si>
    <t>Kabel FTP Cat 6</t>
  </si>
  <si>
    <t>CYKY 5Jx1,5</t>
  </si>
  <si>
    <t>Kabel CYKY 5Jx1,5</t>
  </si>
  <si>
    <t>Kabel CYKY 5Jx4</t>
  </si>
  <si>
    <t>1525 HA - T</t>
  </si>
  <si>
    <t>Trubka tuhá D25</t>
  </si>
  <si>
    <t>1520 HA - T</t>
  </si>
  <si>
    <t>Trubka tuhá D20</t>
  </si>
  <si>
    <t>1420 HA - T</t>
  </si>
  <si>
    <t>Trubka ohebná D20</t>
  </si>
  <si>
    <t>CP150 GC</t>
  </si>
  <si>
    <t>Ochranné víko 2000x150mm,tl. 6mm,žárově zinkované</t>
  </si>
  <si>
    <t>CM000081</t>
  </si>
  <si>
    <t>Žlab kabelový1 š.150, v. 54 d. 3000, žárový pozink komplet, víko, podpěry, spojení</t>
  </si>
  <si>
    <t>Žlab kabelový1 š.150, v. 54 d. 3000, pozink komplet, víko, podpěry, spojení</t>
  </si>
  <si>
    <t>MM-mat</t>
  </si>
  <si>
    <t>Montážní materiál pro kabeláže</t>
  </si>
  <si>
    <t>set</t>
  </si>
  <si>
    <t>MM_mat</t>
  </si>
  <si>
    <t>Montážní materiál pro žlaby a trubky</t>
  </si>
  <si>
    <t>Montáže</t>
  </si>
  <si>
    <t>K</t>
  </si>
  <si>
    <t>Rozvadeč RM1</t>
  </si>
  <si>
    <t>Zapojení rozvaděče RNET</t>
  </si>
  <si>
    <t>Zapojení rozvaděče RM1</t>
  </si>
  <si>
    <t>INSTR</t>
  </si>
  <si>
    <t>Instalace polní instrumentace</t>
  </si>
  <si>
    <t>MN ŽLAB 100</t>
  </si>
  <si>
    <t>Montáž kabelových tras 100x125</t>
  </si>
  <si>
    <t>MN TRUBKA</t>
  </si>
  <si>
    <t>Montáž kabelových tras trubka lišta do D32</t>
  </si>
  <si>
    <t>MN kabely</t>
  </si>
  <si>
    <t>Položení a svazkování kabelů do 7žil</t>
  </si>
  <si>
    <t>MN UTP</t>
  </si>
  <si>
    <t>Montáž a ukončení kabelu FTP CAT 6</t>
  </si>
  <si>
    <t>Montáž a ukončení kabelu UTP CAT 5</t>
  </si>
  <si>
    <t>MN ext</t>
  </si>
  <si>
    <t xml:space="preserve">Zapojení externích zařízení </t>
  </si>
  <si>
    <t>PLOŠINA</t>
  </si>
  <si>
    <t>Pronájem plošin/lešení</t>
  </si>
  <si>
    <t>hod</t>
  </si>
  <si>
    <t>MN Perif</t>
  </si>
  <si>
    <t>Připojení kabelů na straně rozvaděče a periferií</t>
  </si>
  <si>
    <t>DOPRAVA PLOŠ</t>
  </si>
  <si>
    <t>Dovoz plošin/lešení na stavbu</t>
  </si>
  <si>
    <t>km</t>
  </si>
  <si>
    <t>PLOŠINA PŘI</t>
  </si>
  <si>
    <t>Přistavení plošin/lešení na stavbu</t>
  </si>
  <si>
    <t>Dokumentace</t>
  </si>
  <si>
    <t>MAN- Obs</t>
  </si>
  <si>
    <t>Manuál pro obsluhu</t>
  </si>
  <si>
    <t>Ostatní služby</t>
  </si>
  <si>
    <t>UVED - Provoz</t>
  </si>
  <si>
    <t>Uvedení do provozu, zaregulování</t>
  </si>
  <si>
    <t>KOOR- osta</t>
  </si>
  <si>
    <t>Koordinace s ostatními profesemi</t>
  </si>
  <si>
    <t>REV- vych</t>
  </si>
  <si>
    <t>Výchozí revizní zpráva</t>
  </si>
  <si>
    <t>ZAŠKOL</t>
  </si>
  <si>
    <t>Zaškolení obsluhy</t>
  </si>
  <si>
    <t>KOMPL  ZK</t>
  </si>
  <si>
    <t>Komplexní vyzkoušení instalace</t>
  </si>
  <si>
    <t>DPR- mimo</t>
  </si>
  <si>
    <t>Mimostaveništní doprava, přesun hmot</t>
  </si>
  <si>
    <t>kpl</t>
  </si>
  <si>
    <t>Kabelové rozvody optické</t>
  </si>
  <si>
    <t>Optický kabel SM 9/125 8vl (B2ca s1d1a1)</t>
  </si>
  <si>
    <t>Svaření vlákna opt.kabelu,1.vlákno,ochrana sváru</t>
  </si>
  <si>
    <t>15</t>
  </si>
  <si>
    <t>Svaření vlákna opt.kabelu,další vlákno,ochrana sváru</t>
  </si>
  <si>
    <t>Ukončení kabelu ve spojce,bez montáže vláken</t>
  </si>
  <si>
    <t>CO450</t>
  </si>
  <si>
    <t>Spojka optická pro 144 svárů,IP68,modulární,Vstupy 6xkruh,1xovál</t>
  </si>
  <si>
    <t>Blok 6 opt.kazet-12 svárů pro spojku</t>
  </si>
  <si>
    <t>Držák spojka na zeď</t>
  </si>
  <si>
    <t>Vstup kabelový,ovál,2x5-10mm</t>
  </si>
  <si>
    <t>Vstup kabelový4x5-10mm</t>
  </si>
  <si>
    <t>Vstup kabelový 4x5-10mm</t>
  </si>
  <si>
    <t>Smrštitelná trubička pro kruhový vstup</t>
  </si>
  <si>
    <t>Smrštitelná trubička pro oválný vstup</t>
  </si>
  <si>
    <t>742330102.1</t>
  </si>
  <si>
    <t>Měření optického segmentu, měření útlumu</t>
  </si>
  <si>
    <t>001.1</t>
  </si>
  <si>
    <t>Ostatní drobný, pomocný a montážní materiál (upevňovací materiál, spojovací materiál, pomocné konstrukce, krabice, svorky apod.)</t>
  </si>
  <si>
    <t>Pospojení</t>
  </si>
  <si>
    <t>34141026</t>
  </si>
  <si>
    <t>vodič propojovací flexibilní jádro Cu lanované izolace PVC 450/750V (H07V-K) 1x4mm2</t>
  </si>
  <si>
    <t>vodič propojovací flexibilní jádro Cu lanované izolace PVC 450/750V (H07V-K) 1x10mm2</t>
  </si>
  <si>
    <t>7404</t>
  </si>
  <si>
    <t>Montáž svorky ochranného pospojování</t>
  </si>
  <si>
    <t>3496</t>
  </si>
  <si>
    <t>Svorka ochranného pospojování pro spojení ochranného vodiče s konstrukcemi, kompletní včetně nerezového pásku</t>
  </si>
  <si>
    <t>ROZVODNICE + VÝBAVA (materiál) pro jednu rozvodnici z  pěti</t>
  </si>
  <si>
    <t>cena</t>
  </si>
  <si>
    <t>celkem</t>
  </si>
  <si>
    <t xml:space="preserve"> AX 1010.000</t>
  </si>
  <si>
    <t>AX 2473.010</t>
  </si>
  <si>
    <t>AX 2537.100</t>
  </si>
  <si>
    <t xml:space="preserve"> Dveřní polohový spínač pro Rittal, včetně plasové montážní podložky a spoj materiálu</t>
  </si>
  <si>
    <t xml:space="preserve"> SZ 4127.010</t>
  </si>
  <si>
    <t xml:space="preserve"> Držák pro upevnění Rittal skříní z nerezu AISI 316 pro  AX a KX</t>
  </si>
  <si>
    <t xml:space="preserve"> SZ 2433.010</t>
  </si>
  <si>
    <t xml:space="preserve"> Výpust kondenzátu Rittal skříní AX a KX</t>
  </si>
  <si>
    <t xml:space="preserve"> SZ 2459.000</t>
  </si>
  <si>
    <t xml:space="preserve"> Schránky na výkresy z plastu pro Rittal skříně</t>
  </si>
  <si>
    <t>SZ 2513.000</t>
  </si>
  <si>
    <t xml:space="preserve"> AX 2393.210</t>
  </si>
  <si>
    <t xml:space="preserve"> 6ED1052-1MD08-0BA2</t>
  </si>
  <si>
    <t xml:space="preserve"> LOGO! DM8 12/24R digital I/O modul, 4DI/4DO, 12/24V</t>
  </si>
  <si>
    <t xml:space="preserve"> 6ED1055-1MB00-0BA2</t>
  </si>
  <si>
    <t>Optický modul, SFP, 20km, WDM, TX1310nm/RX1550nm</t>
  </si>
  <si>
    <t xml:space="preserve"> SFP-TX1310/RX1550nm</t>
  </si>
  <si>
    <t>Optický modul, SFP, 20km, WDM, TX1550nm/RX1310nm</t>
  </si>
  <si>
    <t xml:space="preserve"> SFP-TX1550/RX1310nm</t>
  </si>
  <si>
    <t>Patch kabel Cat 5e FTP 1,5 m barevný</t>
  </si>
  <si>
    <t>Patch kabel, optický, SC-SC, 9/125, broušení UPC/UPC, simplex, 
LS0H, ultraflexibilní G.657.A1, průměr 2mm, krátký vývod, 1m</t>
  </si>
  <si>
    <t>DIN BOX 8x SC simplex Optický rozvaděč, 8x SC simplex, 2x PG11 +2x free</t>
  </si>
  <si>
    <t xml:space="preserve"> DIN BOX 8x SC simplex</t>
  </si>
  <si>
    <t>Solarix Držák na DIN lištu pro jeden keystone šedý SXKJ-DIN-GY</t>
  </si>
  <si>
    <t>SXKJ-DIN-GY</t>
  </si>
  <si>
    <t xml:space="preserve"> QUINT4-PS/1AC/24DC/5</t>
  </si>
  <si>
    <t>QUINT4-UPS/24DC/24DC/5/EIP</t>
  </si>
  <si>
    <t>Bateriový modul 24VDC/4Ah
Referenční výrobek : PHOENIX CONTACT  UPS-BAT/PB/24DC/4AH</t>
  </si>
  <si>
    <t xml:space="preserve"> UPS-BAT/PB/24DC/4AH</t>
  </si>
  <si>
    <t xml:space="preserve"> Svorka 2,5mm jednoduchá šedá</t>
  </si>
  <si>
    <t xml:space="preserve"> WAGO 280-901</t>
  </si>
  <si>
    <t xml:space="preserve"> Bočnice šedá pro svorku 2,5mm 280-xxx</t>
  </si>
  <si>
    <t xml:space="preserve"> WAGO 280-308</t>
  </si>
  <si>
    <t xml:space="preserve"> Svorka 2,5mm jednoduchá zelenožlutá</t>
  </si>
  <si>
    <t xml:space="preserve"> WAGO 280-907</t>
  </si>
  <si>
    <t xml:space="preserve"> Klema pro svorku 2,5mm šedá</t>
  </si>
  <si>
    <t xml:space="preserve"> WAGO 280-402</t>
  </si>
  <si>
    <t xml:space="preserve"> Koncovka na DIN 35, 6mm, šedá</t>
  </si>
  <si>
    <t xml:space="preserve"> WAGO 249-116</t>
  </si>
  <si>
    <t xml:space="preserve"> Svorka 4mm jednoduchá šedá</t>
  </si>
  <si>
    <t xml:space="preserve"> WAGO 281-901</t>
  </si>
  <si>
    <t xml:space="preserve"> Svorka 4mm jednoduchá zelenožlutá</t>
  </si>
  <si>
    <t xml:space="preserve"> WAGO 281-907</t>
  </si>
  <si>
    <t xml:space="preserve"> Klema pro svorku 4mm šedá</t>
  </si>
  <si>
    <t xml:space="preserve"> WAGO 281-402</t>
  </si>
  <si>
    <t xml:space="preserve"> Bočnice šedá pro svorku 4mm 281-xxx</t>
  </si>
  <si>
    <t xml:space="preserve"> WAGO 281-328</t>
  </si>
  <si>
    <t xml:space="preserve"> Popisky čisté, 5mm na svorky 280,281..285, neflexibilní</t>
  </si>
  <si>
    <t xml:space="preserve"> WAGO 793-501</t>
  </si>
  <si>
    <t xml:space="preserve"> Popisky 1..10, 5mm na svorky 280,281..285, neflexibilní</t>
  </si>
  <si>
    <t xml:space="preserve"> WAGO 793-502</t>
  </si>
  <si>
    <t xml:space="preserve"> Patice modrá pro relé 55.32 2P a 55.34 4P</t>
  </si>
  <si>
    <t xml:space="preserve"> 94.94.3</t>
  </si>
  <si>
    <t xml:space="preserve"> LED + ochr.dioda, 6-24V DC</t>
  </si>
  <si>
    <t xml:space="preserve"> 99.80.0.024.99</t>
  </si>
  <si>
    <t>Relé, 2P, 10A</t>
  </si>
  <si>
    <t xml:space="preserve"> 55.32.9.024.0040</t>
  </si>
  <si>
    <t xml:space="preserve"> Kontakty pomoc. 1/1 pro mot.jist. GZ</t>
  </si>
  <si>
    <t xml:space="preserve"> GZ1-AN11</t>
  </si>
  <si>
    <t xml:space="preserve"> Jistič motorový 3-pólový 0,63-1A</t>
  </si>
  <si>
    <t xml:space="preserve"> GZ1-E05</t>
  </si>
  <si>
    <t xml:space="preserve"> Nulovací a rozbočovací můstek (7 svorek) modrý</t>
  </si>
  <si>
    <t xml:space="preserve"> N7</t>
  </si>
  <si>
    <t xml:space="preserve"> Odpínač pojistkový 3-pól. 690V/63A</t>
  </si>
  <si>
    <t xml:space="preserve"> OPVP14/3</t>
  </si>
  <si>
    <t xml:space="preserve"> Rozbočovací PE můstek (7 svorek) zelený</t>
  </si>
  <si>
    <t xml:space="preserve"> PE7</t>
  </si>
  <si>
    <t xml:space="preserve"> Jistič 1.pólový 6A, char."B"</t>
  </si>
  <si>
    <t xml:space="preserve"> PL7-B6/1</t>
  </si>
  <si>
    <t xml:space="preserve"> Jistič 1.pólový 6A, char."C"</t>
  </si>
  <si>
    <t xml:space="preserve"> PL7-C6/1</t>
  </si>
  <si>
    <t xml:space="preserve"> Vložka poj. válc. 16A gG</t>
  </si>
  <si>
    <t xml:space="preserve"> PV14 16A GG</t>
  </si>
  <si>
    <t xml:space="preserve"> Nouzový hlavní vypínač 25A</t>
  </si>
  <si>
    <t xml:space="preserve"> VCF-0</t>
  </si>
  <si>
    <t xml:space="preserve"> Kryt svorek hl.vypínač V02..V2</t>
  </si>
  <si>
    <t xml:space="preserve"> VZ-8</t>
  </si>
  <si>
    <t xml:space="preserve"> Modul pomocného pólu 20A pro vypínač V0</t>
  </si>
  <si>
    <t xml:space="preserve"> VZ-11</t>
  </si>
  <si>
    <t xml:space="preserve"> Kryt svorek pom.modulu provypínač V02..V2</t>
  </si>
  <si>
    <t xml:space="preserve"> VZ-26</t>
  </si>
  <si>
    <t xml:space="preserve"> Pom.kontakt k PL7, PFL7, PL6, PFL6</t>
  </si>
  <si>
    <t xml:space="preserve"> ZP-IHK</t>
  </si>
  <si>
    <t xml:space="preserve"> Zásuvka ČSN 230VAC/16A, připevnění DIN lišta</t>
  </si>
  <si>
    <t xml:space="preserve"> ZSE-06</t>
  </si>
  <si>
    <t>28,08*8</t>
  </si>
  <si>
    <t>Demontáž atypických ocelových konstr. do 50 kg - uložení</t>
  </si>
  <si>
    <t>Pronájem staveništního oplocení, plné, délka pole 3,0/2,0 m (do 9 měsíců), patka spony, vzpěra aj.</t>
  </si>
  <si>
    <t>148*30*9</t>
  </si>
  <si>
    <t>1,7877                 ;  izolace vlna - provizor</t>
  </si>
  <si>
    <t>2,4790                   ;  výměna konzolí</t>
  </si>
  <si>
    <t>1,7877*15                 ;  izolace vlna - provizor</t>
  </si>
  <si>
    <t>2,4790*15                   ;  výměna konzolí</t>
  </si>
  <si>
    <t>2,6165*15                  ;  beton</t>
  </si>
  <si>
    <t>141 001VD</t>
  </si>
  <si>
    <t>142 002VD</t>
  </si>
  <si>
    <t xml:space="preserve">Dodávka předizolovaného ocelového, potrubí, sdružený systém, serie izolace 3 ( částečně 1 ), Dn 300, DN 200, DN 20, PN 16, na termominerální vodu max. teploty 75°C, s difuzní bariérou, potrubí ocel tř. 11, s alarmem Nordic s vyvedením do svorkovnicových krabic a trvalých monitorovacích hlídačů předizolovaného potrubí, s kontrolou smyčky reflektometrickým měřením, spláštěm HDPE, vodotěsným, spoje min. dvojnásobně jištěné, tepelně smrštitelné, s termoizolačními spojkami s továrně vyráběnými poloskružemi, ukončení tepelné izolace smršťovacími koncovkami, prostupy opatřeny labyrintovým těsněním, lomy v zásypu obloženy dilatačními polštáři, kompletně systém s pláštěm s UV stabilizací, dle samostatné specifikace, D+M
</t>
  </si>
  <si>
    <t xml:space="preserve">Montáž předizolovaného ocelového, potrubí, sdružený systém, serie izolace 3 ( částečně 1 ), Dn 300, DN 200, DN 20, PN 16, na termominerální vodu max. teploty 75°C, s difuzní bariérou, potrubí ocel tř. 11, s alarmem Nordic s vyvedením do svorkovnicových krabic a trvalých monitorovacích hlídačů předizolovaného potrubí, s kontrolou smyčky reflektometrickým měřením, spláštěm HDPE, vodotěsným, spoje min. dvojnásobně jištěné, tepelně smrštitelné, s termoizolačními spojkami s továrně vyráběnými poloskružemi, ukončení tepelné izolace smršťovacími koncovkami, prostupy opatřeny labyrintovým těsněním, lomy v zásypu obloženy dilatačními polštáři, kompletně systém s pláštěm s UV stabilizací, dle samostatné specifikace, D+M
</t>
  </si>
  <si>
    <t>WebSensor s PoE - snímač teploty, vlhkosti, koncentrace CO2 s výstupem Ethernet  TEPLOTNÍ SENZOR
Měřicí rozsah -30 až +105 °C Přesnost ±0,4 °C Rozlišení 0,1 °C
VLHKOSTNÍ SENZOR
Měřicí rozsah 5 až 95 % RV Přesnost ± 2,5 % RV Rozlišení 0,1% RV
ROSNÝ BOD
Měřicí rozsah -60 až +80 °C Přesnost ±1,6 °C při okolní teplotě T &lt; 25°C a RV &gt; 30%
Rozlišení 0,1 °C
Komunikační protokoly WWW, ModbusTCP, SNMPv1, SOAP, XML
Protokoly pro alarmy E-mail, SNMP Trap, Syslog
Napájení Power over Ethernet dle IEEE 802.3af nebo 5Vdc
Referennční výrobek: Comet systém T6641
Včetně boxu  s průhledným víkem min IK 08; IP65;+ vývodky (pro umístění web sensoru)</t>
  </si>
  <si>
    <t>Indukční snímač polohy: materiál pouzdra polybutyltereftal·tM18;IP68/IP69K;PNP spínací kontakt; spín.vzd. 8mm,provoz.nap. 10-30V
Referenční výrobek: Pepperl+Fuchs  NBN8-18K50-E2</t>
  </si>
  <si>
    <t>Snímačrelativního tlaku; rozsah: -1bar až 4bar, výtup 4-20mA,př.0,1%,IP67,procesní připojení CLAMP 1" ;polní pouzdro-nerez M16x1,5
Referenční výrobek: BD sensor DMP331Pi-500-V402-1-1-500-C61-1-0-2-111</t>
  </si>
  <si>
    <t>Kabel komunikační sběrnice MODBUS  2X2X0,22
Referenční výrobek:LAPP UNITRONIC BUS LD 1X2X0,22 /2170203 (Modbus RTU)</t>
  </si>
  <si>
    <t>Kabel FTP Cat 6  vekovní provedení; plášť UV stabilní,
referenční výrobek: Solarix CAT6 FTP PE F Objednací kód: 27655194</t>
  </si>
  <si>
    <t xml:space="preserve">Trubka tuhá D25 z vyšší mechnickou pevností min 750N. </t>
  </si>
  <si>
    <t xml:space="preserve">Trubka tuhá D20 z vyšší mechnickou pevností min 750N. </t>
  </si>
  <si>
    <t xml:space="preserve">Trubka ohebná D20 z vyšší mechnickou pevností min 750N. </t>
  </si>
  <si>
    <t>Univerzální optický kabel;Počet vláken	24;Typ vlákna	SM, 9/125; OS2 G.657A;
Průměr	10.1 mm, berevné kodování vláken dle IEC 60304; ovinutí corrugovanou ocelovou páskou, Plášť FR-LSZH UV stabilní;Konstrukce CLT
referenční výrobek:J/A-DQ(BN)B(SR)H, 24vl., 9/125, FR-LSZH, B2ca-s1,d0,a1, FSC90, ZN01, CLT,KDP</t>
  </si>
  <si>
    <t>Univerzální optický kabel;Počet vláken	12Typ vlákna	SM, 9/125; OS2 G.657A;
Průměr	10.1 mm, berevné kodování vláken dle IEC 60304; ovinutí corrugovanou ocelovou páskou, Plášť FR-LSZH UV stabilní;Konstrukce CLT
referenční výrobek:J/A-DQ(BN)B(SR)H,12vl., 9/125, FR-LSZH, B2ca-s1,d0,a1, FSC90, ZN01, CLT,KDP</t>
  </si>
  <si>
    <t>Univerzální optický kabel;Počet vláken	12Typ vlákna	MM, 50/125; OM4 G.657A;
Průměr	10.1 mm, berevné kodování vláken dle IEC 60304; ovinutí corrugovanou ocelovou páskou, Plášť FR-LSZH UV stabilní;Konstrukce CLT
referenční výrobek:J/A-DQ(BN)B(SR)H,12vl., 50/125, FR-LSZH, B2ca-s1,d0,a1, FSC90, ZN01, CLT,KDP</t>
  </si>
  <si>
    <t xml:space="preserve">Pigtail SC/UPC 9/125 1m, </t>
  </si>
  <si>
    <t xml:space="preserve">Pigtail SC/UPC 50/125 1m, </t>
  </si>
  <si>
    <t xml:space="preserve">Adaptér optický SC-SC, Simplex, UPC/UPC, multimode, </t>
  </si>
  <si>
    <t xml:space="preserve">Adaptér optický SC-SC, Simplex, UPC/UPC, singlmode, </t>
  </si>
  <si>
    <t>ROZVODNICE + VÝBAVA (materiál) doplnění RNET5.3</t>
  </si>
  <si>
    <t xml:space="preserve">Administrovatelný IPv4/IPv6 přepínač s bezpečnostními funkcemi a podporou PoE+ 8x 802.3at/af (36 W/port max., budget až 240 W). 2x 1G SFP, 2x 2.5G SFP (1000/2500 Base-X, kompatibilní s 100 Base-X), 8x RJ-45 10/100/1000 Base-T, 1x RJ-45 sériový port (konzole RS-232)Duální napájení v rozsahu DC 12-54 V, krytí IP30, hliníková skříň, pracovní teplota -40 až +75 °C, přepěťová ochrana ESD do 6 kV, DI/DO (2x digitální vstup, 2x digitální výstup), 1x alarm (napájení), montáž na DIN lištu nebo přímo na zeď.
Web/Telnet/SNMP(v1/v2c)/konzole management, SSH v2, TLS v1.2, SNMP v3, L3 statický routing (L2+), VLAN, 802.1Q, ACL filtr, QoS, bandwidth manager, řízení dle IP/MAC/Ethertype/protokol/VLAN/DSCP/802.1p filtrů, agregace linek LACP, IGMP v1/v2/v3, 802.1x, RADIUS, TACACS+, Modbus TCP, ERPS Ring Data Recovery time &lt;10ms (ITU-T G.8032), podpora 1588 PTP v2 Transparent Clock, podpora ONVIF pro spolupráci s video IP dohledovými zařízeními.
Napájení: duální, redundantní, DC 12-54 V, příkon do 7,28 W bez PoE, max. 249 W (zdroj není součástí balení)Ochrana: ESD do 6 kV DC;Provozní teplota: -40 až +75 °C, vlhkost do 95 %
Rozměry: 152 x 107,3 x 76,8 mm
Hmotnost: 1,128 kg
LLDP: ano (automatická detekce typu připojených zařízení)
Diagnostika kabeláže: ano (SFP-DDM - Digital Diagnostic Monitor)
PoE funkce:
Celkový napájecí výkon: max. 240 W (dle napájení), IEEE 802.3at/af
60 W maximum (pro DC 12 V napájecí vstup);120 W maximum (pro DC 24 V napájecí vstup)
240 W maximum (pro DC 48-54 V napájecí vstup);Napájení: DC 52-54 V (802.3at), max. 36 W/port; zpětně kompatibilní s 802.3af;Počet injektorů: 8;Typ napájení: End-span;Pokročilé funkce:
PD Alive Check;automatická detekce napájeného zařízení
integrovaný scheduler pro plánované vypnutí napájených koncových prvků
monitorování a správa PoE;PoE Extend režim
referenční výrobek:PLANET IGS-5225-8P4S-12V </t>
  </si>
  <si>
    <t>PLANET IGS-5225-8P4S-12V</t>
  </si>
  <si>
    <t>Patch kabel Cat 5e FTP 2 m barevný</t>
  </si>
  <si>
    <t>Patch kabel, optický, SC-SC, 9/125, broušení UPC/UPC, simplex, 
LS0H, ultraflexibilní G.657.A1, průměr 2mm, krátký vývod, 2m</t>
  </si>
  <si>
    <t>Patch kabel, optický, SC-SC, 50/125, broušení UPC/UPC, simplex, 
LS0H, ultraflexibilní G.657.A1, průměr 2mm, krátký vývod, 0,5m</t>
  </si>
  <si>
    <t>Patch kabel, optický, SC-SC, 50/125, broušení UPC/UPC, simplex, 
LS0H, ultraflexibilní G.657.A1, průměr 2mm, krátký vývod, 2m</t>
  </si>
  <si>
    <r>
      <t xml:space="preserve">Zdroj napájení 230VAC/24 VDC/5A
Primárně taktovaný napájecí zdroj QUINT POWER s volitelnou výstupní charakteristikou, technologie SFB  (Selective Fuse Breaking) a rozhraní NFC, vstup: 1fázový, výstup: 24 V DC / 5 AMTBF (IEC 61709, SN 29500)	&gt; 1532000 h (25 °C), &gt; 930000 h (40 °C),&gt; </t>
    </r>
    <r>
      <rPr>
        <b/>
        <sz val="10"/>
        <rFont val="Arial"/>
        <family val="2"/>
        <charset val="238"/>
      </rPr>
      <t>431000 h (60 °C)</t>
    </r>
    <r>
      <rPr>
        <sz val="10"/>
        <rFont val="Arial"/>
        <family val="2"/>
        <charset val="238"/>
      </rPr>
      <t xml:space="preserve"> Šířka	36 mm,Výška	130 mm,Hloubka	125 mm
Referenční výrobek :</t>
    </r>
    <r>
      <rPr>
        <sz val="11"/>
        <rFont val="Calibri"/>
        <family val="2"/>
        <charset val="238"/>
      </rPr>
      <t xml:space="preserve"> PHOENIX CONTACT  QUINT4-PS/1AC/24DC/5</t>
    </r>
  </si>
  <si>
    <r>
      <t xml:space="preserve"> Zdroj nepřerušeného napájení 24VDC/24VDC/5A
QUINT UPS, IQ Technology, </t>
    </r>
    <r>
      <rPr>
        <b/>
        <sz val="10"/>
        <rFont val="Arial"/>
        <family val="2"/>
        <charset val="238"/>
      </rPr>
      <t>EtherNet/IP (Modbus/TCP)</t>
    </r>
    <r>
      <rPr>
        <sz val="10"/>
        <rFont val="Arial"/>
        <family val="2"/>
        <charset val="238"/>
      </rPr>
      <t>, Montáž na nosnou lištu, Šroubové připojení, vstup: 24 V DC, výstup: 24 V DC / 5 A, nabíjecí proud: 1,5 A</t>
    </r>
    <r>
      <rPr>
        <sz val="11"/>
        <rFont val="Calibri"/>
        <family val="2"/>
        <charset val="238"/>
      </rPr>
      <t xml:space="preserve">
Referenční výrobek : PHOENIX CONTACT  QUINT4-UPS/24DC/24DC/5/EIP</t>
    </r>
  </si>
  <si>
    <t xml:space="preserve">Kompaktní rozváděčová skříň, ŠxVxH: 600x600x210 mm, nerez ocel 1.4301, s montážní deskou, s jednokřídlými dveřmi, 2 otočné uzávěryRozvaděčová skříň 600x600x210 mm, nerez ocel,  
Skříň a dveře: jemně zbroušený povrch, zrnitost 400, hloubka zrnitosti RA &lt; 0,8 μm
Montážní deska: pozinkovaná
Dveře: nerez ocel, po obvodu polyuretanové pěnové těsnění
Šířka: 200 mm Výška: 200 mm Hloubka: 210 mm
Tloušťka materiálu dveří 1,5 mm
Tloušťka materiálu skříně1,25 mm
Tloušťka materiálu montážní desky 2,5 mm
Rozměry montážní desky (550 mm x 575 mm)
Provedení uzávěru: 3-bodový uzavírací systém
Netto hmotnost 19 kg
Stupeň krytí IP dle normy EN 60 529 IP 66
referenční výrobek Rittal  AX 1017.000
</t>
  </si>
  <si>
    <t>Popis výrobku:Ochranná střecha spolehlivě chrání skříň shora díky svému šikmému sklonu před hromaděním vlhkosti a dalšími nečistotami.
Materiál: Nerez ocel 1.4301 (AISI 304)
Povrch: Jemně zbroušený povrch, zrnitost 240
Rozsah dodávky:Včetně upevňovacího materiál
Šířka: = 600 mm,Hloubka: = 210 mm,hmotnost: 2,12 kg
referenční výrobek Rittal  AX 2473.010</t>
  </si>
  <si>
    <t>Pro zámkové vložky a profilové půlválcové vložky
Provedení uzávěru: Připraveno pro uzavírací vložky provedení A, montáž profilových půlválcových vložek o celkové délce 40 nebo 45 mm (podle DIN 18 252) nebo bezpečnostních vložek a vložek s tlačítkem o délce 40 mm,RAL 7035,
referenční výrobek Rittal  AX 2473.010</t>
  </si>
  <si>
    <t xml:space="preserve">Lišta pro vnitřní vybavení AX Rittal skříně
Pro montáž do skříně, bez mechanické úpravy. Montáž lze provést na bočních, podlahových a střešních plochách na výstupcích umístěných ve skříni do zatížení 25 N. Variabilně s 2 řadami systémových otvorů, vytváří přídavnou montážní plochu např. pro: systémové chassis 14 x 39 mm, osvětlení rozváděčové skříně, dveřní polohový spínač, aretaci dveří, držák chráničky kabelu.
</t>
  </si>
  <si>
    <t xml:space="preserve"> LOGO! 8.4, 12/24RCE logický modul 0BA2, 2022
LOGO! 12/24RCE, LOGICKÝ REŽIM., DISK SV/E/A: 12/DC 24V/RELÉ, 8DE (4AE)/4DA, SP. 400 bloků, modulární rozšíření, Ethernet, integrované Webový server, soubor dat, vlastní webové stránky, standardní microSD karta pro LOGO! 8. LOGO! Soft Comfort od V8.4, starší projekty s cloudovou přípojkou, MQTT se všemi LOGY! 8.4 základní přístroje LOGO! 8 základní přístroje s 8 digitálními vstupy a 4 digitálními výstupy a nízkou montážní šířkou 72 mm mají integrovány mnoho známých funkcí (impulzní relé, schodišťový automat, pomocný časovač, časové relé atd.), které lze navzájem všestranně kombinovat. Spínací programy lze jednoduše vytvořit a simulovat na PC. Vždy integrované ethernetové rozhraní umožňuje komunikaci až devíti LOGO! 8 a 10. 8 modulů nebo systémy SIMATIC S7. Pomocí integrovaného webového serveru lze připojené spotřebiče sledovat a ovládat přes Wi-Fi nebo internet. Webové stránky lze vytvářet samotným uživatelem, a to i bez znalostí HTML. Pomocí přídavných modulů je možná komunikace GSM nebo GPS a také integrace do systému řízení budov KNX. LOGO! 8 základní přístroje jsou k dispozici s ukazateli pro různá vstupní napětí a s tranzistory nebo relé výstupy (do 10 a jmenovitý proud). Lze rozšířit o další moduly až na 24DI / 20 DQ (8 AI / 8 AQ). Integrovaná cloudová komunikace. LOGO! 8 lze také rozšířit o externí textový displej pro smysluplné hlášení. Barva pozadí je volitelná pro optické zjišťování. Různé LOGO! K dispozici jsou také napájecí moduly.
referenční výrobek: SIEMENS:6ED1055-1MB00-0BA2</t>
  </si>
  <si>
    <t>POE SWITCH
flexibilní průmyslový přepínač a konvertor s PoE+ (802.3af/at), 4x RJ-45 port 10/100/1000 Base-T, 2x 1G SFP Base-SX/LX/BX, 4x PoE+ injektory (až 36 W/port) s celkovým výkonem 120 W (při napájení DC 48-56 V).
Bez správy (unmanaged), podpora 802.1Q VLAN a CSMA/CD protokolu, redundantní napájení DC 12-56 V, krytí IP40, kovová skříň, pracovní teplota -40 až +75 °C, fanless (bez ventilátorů), LED indikace využití PoE, DIP přepínač (switch/redundant režim), alarm výstup (selhání napájení), přepěťová ESD ochrana do 6 kV,
Pomocí integrovaného DIP přepínače lze IGS-624HPT nakonfigurovat jako 6portový gigabitový ethernetový přepínač nebo jako switch s redundantním režimem 4+2. V tomto režimu poskytuje rychlou zálohu spojení pro vysoce kritické aplikace a podporuje funkci automatického obnovení. Pokud dojde k výpadku/selhání spojení na cílovém portu paketu, předá switch paket na druhý port záložního páru.
Fyzické vlastnosti:
Porty: 4x RJ-45 port 10/100/1000 Base-T, 2x 1G SFP Base-SX/LX/BX
Paměť: 4K MAC adres, JumboFrame 9 kB
Propustnost: sběrnice 12 Gbps, provozně 8,93 Mpps
Provedení: DIN lišta, na zeď
Napájení: DC 12-56 V, redundantní, vlastní příkon do 7,02 W (130,6 W při plném PoE zatížení), připojení možné ze dvou různých zdrojů (nejsou součástí balení)
Ochrana: ESD do 6 kV kontaktně, ochrana proti přepólování
Provozní teplota: -40 až +75 °C, vlhkost do 90 %
Rozměry: 135 x 87 x 32 mm
Hmotnost: 657 g
PoE funkce:
Celkový napájecí výkon: max. 120 W (dle napájení), IEEE 802.3at/af
Počet injektorů: 4x až 36 W
Typ napájení: End-span
referenční výrobek:  PLANET  IGS-624HPT</t>
  </si>
  <si>
    <t>RNET5.3</t>
  </si>
  <si>
    <t>Kompaktní rozváděčová skříň, ŠxVxH: 600x600x210 mm, nerez ocel 1.4301, s montážní deskou, s jednokřídlými dveřmi, 2 otočné uzávěryRozvaděčová skříň 600x600x210 mm, nerez ocel</t>
  </si>
  <si>
    <t>Spojka optická pro 144 svárů,IP68,modulární,Vstupy 6xkruh,1xovál;průběžná i koncová instalace; UV stabilní;rozměry 240x150x320mm; krytí IP68; modulární provedení obsahuje: 6 kulatých a 1 oválný vstup; rám pro 2 bloky kazet; kompletní naváděcí blok; příprava pro úchyt na sloup
referenční výrobek: Omelcom  CO450</t>
  </si>
  <si>
    <t xml:space="preserve">Optický kabel SM 9/125 24vl </t>
  </si>
  <si>
    <t xml:space="preserve">Univerzální optický kabel;Počet vláken	12Typ vlákna	MM, 50/125; </t>
  </si>
  <si>
    <t>Ochranné víko 2000x150mm,tl. 0,6mm,žárově zinkované</t>
  </si>
  <si>
    <t>Indukční snímač polohy,IP68/IP69K,spín.vzd. 8mm,provoz.nap. 10-30V</t>
  </si>
  <si>
    <t>Čidlo tlaku -1 až 4bar, výtup 4-20mA,př.0,1%,IP67,procesní připojení CLAMP 1"; pouzdro-nerez M16x1,5</t>
  </si>
  <si>
    <t>Rozvaděč oceloplechový,600x600x210,na omítku, montážní panel, výstroj jistícími a spínacími přístroji a svorkami, zámek, krytí IP66  - doplnění do stávajícího rozváděče dle samostatné specifikace RNET 5.3 - doplnění</t>
  </si>
  <si>
    <t>Rozvaděč oceloplechový,600x600x210,na omítku, montážní panel, výstroj jistícími a spínacími přístroji a svorkami, zámek, krytí IP66  dle samostatné specifikace RNET1A; RNET1.1; RNET5.2; RNET5; RNET5.4</t>
  </si>
  <si>
    <t>(0,15+0,377+0,15)*3,141*305,0   ;  DN 350     stávající TMV</t>
  </si>
  <si>
    <t>;DN 20    ;  (0,03+0,022+0,03)*3,14*6,0     ;   odvdušnění</t>
  </si>
  <si>
    <t>;DN 20    ;  (0,03+0,022+0,03)*3,14*6,0*1,02     ;   odvdušnění</t>
  </si>
  <si>
    <t>;DN 150  ;  (0,06+0,159+0,06)*3,14*(305,0+123,0+253,2-50,0)   ;   provizor</t>
  </si>
  <si>
    <t>;DN 150  ;  (0,06+0,159+0,06)*3,14*(305,0+123,0+253,2-50,0)*1,02   ;   provizor</t>
  </si>
  <si>
    <t>0,9*11,1/1000*8   ;   výměna konzole</t>
  </si>
  <si>
    <t>0,9*21,9/1000*8   ;   výměna konzole</t>
  </si>
  <si>
    <t>;L 33 - L 34   ;  56,0*3,0</t>
  </si>
  <si>
    <t>;L 57 - L 60   ;  10,0*2,0</t>
  </si>
  <si>
    <t>8,74                 ;   plech izolace</t>
  </si>
  <si>
    <t>5,38                 ;  izolace vlna - stáv. rozvod</t>
  </si>
  <si>
    <t>8,74*15                 ;   plech izolace</t>
  </si>
  <si>
    <t>5,38*15                 ;  izolace vlna - stáv. rozvod</t>
  </si>
  <si>
    <t>5,38 + 1,7877                     ;  izolace vlna</t>
  </si>
  <si>
    <t>;DN 350  ;  305,0   ;  1,0 m = 250 Kg/m  zarostlé kamenem  -  stávající  TMV</t>
  </si>
  <si>
    <t>4    ;                     -   Stojan kotevní</t>
  </si>
  <si>
    <t>4   ;   odvdušnění trasy</t>
  </si>
  <si>
    <t>4   ;   odvdušnění trasy  -  T-kus</t>
  </si>
  <si>
    <t>3   ;    L41 + L50 + L60    -   varná redukce</t>
  </si>
  <si>
    <t>6,0*1,1   ;   odvzdušnění</t>
  </si>
  <si>
    <t>6,0   ;  odvzdušnění</t>
  </si>
  <si>
    <t>5,0   ;  provizor</t>
  </si>
  <si>
    <t>3   ;   L41 + L50 + L60</t>
  </si>
  <si>
    <t>;konzoly  I č 180  =  0,641 m2  ;  140*0,9*0,641</t>
  </si>
  <si>
    <t>234    ;  provizor</t>
  </si>
  <si>
    <t>(0,13+0,219+0,13)*3,14*4,0                    ;    DN 200     stávající TMV</t>
  </si>
  <si>
    <t>;DN 150- DN 350  ; (230-42+67+7+7+16)*36,5+266*3,5</t>
  </si>
  <si>
    <t>11,90                ;   uložení</t>
  </si>
  <si>
    <t>139,42         ;  stávající rozvod TMV + provozor</t>
  </si>
  <si>
    <t>139,42*15         ;  stávající rozvod TMV + provozor</t>
  </si>
  <si>
    <t>11,90*15                ;   uložení</t>
  </si>
  <si>
    <t>Specifikaci nutno před objednáním odsouhlasit se SPLZaK! Uzavírací nerezová přímá Clamp-Clamp klapka, AISI 316, Těsnění silikon se servopohonem J4C 20Nm, 10s, F03-05-14mm, s držákem servopohonu a unašečem klapky pro pohon AT100, H=14, DN 25</t>
  </si>
  <si>
    <t>Specifikaci nutno před objednáním odsouhlasit se SPLZaK! Odvzdušňovací přelivová nádoba nerez dle projektu, DN 80, nerez AISI 316, připojení Clamp talířek 50,5 mm, D+M</t>
  </si>
  <si>
    <t>Těsnění přírubové DN200 PN10-16 (pro příruby EN/DIN/ČSN)</t>
  </si>
  <si>
    <t>( 318,0-141,0 )+( 447,0-184,0 )+253,2   ;   provizor</t>
  </si>
  <si>
    <t>693,2  ;  provizor</t>
  </si>
  <si>
    <t>( 447,0-184,0 )*1,05   ;   provizor</t>
  </si>
  <si>
    <t>Kohout kulový, vnitř.-vnitř.z. DN 50</t>
  </si>
  <si>
    <t>Kohout kulový, vnitř.-vnitř.z. DN 20</t>
  </si>
  <si>
    <t>Provedení izolace proti vlhkosti na ploše vodorovné, asfaltovými pásy přitavením - 1 vrstva - včetně dodávky  S 35</t>
  </si>
  <si>
    <t>Pás lamelový min. vata a Al. povrchem H 3000 x 1000 x 60 mm - rozvod</t>
  </si>
  <si>
    <t>Pás lamelový min. vata a Al. povrchem H 5000 x 1000 x 30 mm - rozvod</t>
  </si>
  <si>
    <t>Pás lamelový min. vata a Al. povrchem H 2300 x 1000 x 100 mm - rozvod</t>
  </si>
  <si>
    <t>Pás lamelový min. vata a Al. povrchem H 5000 x 1000 x 30 mm - provizor</t>
  </si>
  <si>
    <t>Pás lamelový min. vata a Al. povrchem H 3000 x 1000 x 60 mm - provizor</t>
  </si>
  <si>
    <t>Pás lamelový min. vata a Al. povrchem H 2000 x 1000 x 80 mm</t>
  </si>
  <si>
    <t>Nátěr syntetický kov.konstrukcí 2xZ+V- 2x</t>
  </si>
  <si>
    <t xml:space="preserve">Specifikaci nutno před objednáním odsouhlasit se SPLZaK!
Uzavírací celonerezová mezipřírubová klapka DN 150, PN 16, AISI 316, Těsnění EPDM, 4044W-EPDM, typ Wafer, se servopohonem, Ovládání AUMATIC s Modbus TCP/IP, SQ 05.2 + AC 01.2 + klapka TTV 4044E, vypínací krouticí moment servopohonu 50 až 150 Nm, čas přestavení armatury fixní 22 s, motor 3 fáz AC 400 V / 50 Hz, režim S2-15 min, integrované řízení AUMATIC vč. stykačové jednotky, interface Modbus TCP/IP + paralelní interface, el. připojení kruhovým konektorem vč. dvojitého utěsnění + sada MsNi průchodek, krytí IP68, -30 až +70°C, nátěrový systém C5 H, uzamykatelné ruční kolo, schéma zapojení TPC AC121-1G1-A5E0, TPA 00R100-0I1-000, klapka mezipřírubová s průchozími oky typ Wafer, těleso 1.4408, talíř 1.4408, hřídel 1.4408, manžeta EPDM
</t>
  </si>
  <si>
    <t xml:space="preserve">Specifikaci nutno před objednáním odsouhlasit se SPLZaK!
Uzavírací celonerezová mezipřírubová klapka DN 200, PN 16, AISI 316, Těsnění EPDM, 4044W-EPDM, typ Wafer, se servopohonem, Ovládání AUMATIC s Modbus TCP/IP, SQ 05.2 + AC 01.2 + klapka TTV 4044E, vypínací krouticí moment servopohonu 50 až 150 Nm, čas přestavení armatury fixní 22 s, motor 3 fáz AC 400 V / 50 Hz, režim S2-15 min, integrované řízení AUMATIC vč. stykačové jednotky, interface Modbus TCP/IP + paralelní interface, el. připojení kruhovým konektorem vč. dvojitého utěsnění + sada MsNi průchodek, krytí IP68, -30 až +70°C, nátěrový systém C5 H, uzamykatelné ruční kolo, schéma zapojení TPC AC121-1G1-A5E0, TPA 00R100-0I1-000, klapka mezipřírubová s průchozími oky typ Wafer, těleso 1.4408, talíř 1.4408, hřídel 1.4408, manžeta EPDM
</t>
  </si>
  <si>
    <t>Těsnění přírubové DN80 PN10-40</t>
  </si>
  <si>
    <t>SOUHRNNÝ ROZPOČET - SLEPÝ</t>
  </si>
  <si>
    <t>Výkaz výměr</t>
  </si>
  <si>
    <t>Krycí list výkazu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</si>
</sst>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K_č_-;\-* #,##0.00\ _K_č_-;_-* &quot;-&quot;??\ _K_č_-;_-@_-"/>
    <numFmt numFmtId="165" formatCode="0.0"/>
    <numFmt numFmtId="166" formatCode="@&quot; °C,&quot;"/>
    <numFmt numFmtId="167" formatCode="0.0#&quot; MPa,&quot;"/>
    <numFmt numFmtId="168" formatCode="0&quot; bm, &quot;"/>
    <numFmt numFmtId="169" formatCode="0&quot; ks &quot;"/>
    <numFmt numFmtId="170" formatCode="0&quot; m2 &quot;"/>
    <numFmt numFmtId="171" formatCode="#,##0&quot; dnů&quot;"/>
    <numFmt numFmtId="172" formatCode="0&quot; m2/den &quot;"/>
    <numFmt numFmtId="173" formatCode="_-* #,##0_-;\-* #,##0_-;_-* &quot;-&quot;??_-;_-@_-"/>
    <numFmt numFmtId="174" formatCode="#,##0.000"/>
    <numFmt numFmtId="175" formatCode="#,##0\ &quot;Kč&quot;"/>
  </numFmts>
  <fonts count="60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vertAlign val="subscript"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 CE"/>
      <family val="2"/>
      <charset val="238"/>
    </font>
    <font>
      <b/>
      <sz val="14"/>
      <color theme="1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003366"/>
      <name val="Arial CE"/>
      <family val="2"/>
      <charset val="238"/>
    </font>
    <font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name val="Arial CE"/>
      <family val="2"/>
    </font>
    <font>
      <sz val="7"/>
      <color rgb="FF969696"/>
      <name val="Arial CE"/>
      <family val="2"/>
      <charset val="238"/>
    </font>
    <font>
      <sz val="7"/>
      <name val="Arial CE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2"/>
      <color rgb="FF000000"/>
      <name val="Aptos"/>
      <family val="2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</font>
    <font>
      <sz val="10"/>
      <name val="MS Sans Serif"/>
      <family val="2"/>
      <charset val="238"/>
    </font>
    <font>
      <sz val="8"/>
      <name val="Trebuchet MS"/>
      <family val="2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7" fillId="0" borderId="76"/>
    <xf numFmtId="0" fontId="17" fillId="0" borderId="76"/>
    <xf numFmtId="0" fontId="17" fillId="0" borderId="76"/>
    <xf numFmtId="0" fontId="22" fillId="0" borderId="76"/>
    <xf numFmtId="0" fontId="17" fillId="0" borderId="76"/>
    <xf numFmtId="0" fontId="22" fillId="0" borderId="76"/>
    <xf numFmtId="0" fontId="23" fillId="0" borderId="76" applyNumberFormat="0" applyFont="0" applyFill="0" applyBorder="0" applyAlignment="0" applyProtection="0"/>
    <xf numFmtId="0" fontId="1" fillId="0" borderId="76"/>
    <xf numFmtId="43" fontId="1" fillId="0" borderId="76" applyFont="0" applyFill="0" applyBorder="0" applyAlignment="0" applyProtection="0"/>
    <xf numFmtId="0" fontId="22" fillId="0" borderId="76"/>
    <xf numFmtId="0" fontId="22" fillId="0" borderId="109">
      <alignment horizontal="left" vertical="center"/>
    </xf>
    <xf numFmtId="0" fontId="22" fillId="0" borderId="109">
      <alignment horizontal="center" vertical="center"/>
    </xf>
    <xf numFmtId="0" fontId="22" fillId="0" borderId="109">
      <alignment horizontal="left" vertical="center"/>
    </xf>
    <xf numFmtId="0" fontId="22" fillId="0" borderId="109">
      <alignment horizontal="center" vertical="center"/>
    </xf>
    <xf numFmtId="164" fontId="22" fillId="0" borderId="76" applyFont="0" applyFill="0" applyBorder="0" applyAlignment="0" applyProtection="0"/>
    <xf numFmtId="43" fontId="1" fillId="0" borderId="76" applyFont="0" applyFill="0" applyBorder="0" applyAlignment="0" applyProtection="0"/>
    <xf numFmtId="0" fontId="47" fillId="0" borderId="76" applyNumberFormat="0" applyFill="0" applyBorder="0" applyAlignment="0" applyProtection="0"/>
    <xf numFmtId="0" fontId="48" fillId="0" borderId="76" applyNumberFormat="0" applyFill="0" applyBorder="0" applyAlignment="0" applyProtection="0"/>
    <xf numFmtId="0" fontId="48" fillId="0" borderId="76" applyNumberFormat="0" applyFill="0" applyBorder="0" applyAlignment="0" applyProtection="0"/>
    <xf numFmtId="0" fontId="48" fillId="0" borderId="76" applyNumberFormat="0" applyFill="0" applyBorder="0" applyAlignment="0" applyProtection="0"/>
    <xf numFmtId="0" fontId="49" fillId="0" borderId="76" applyFill="0" applyBorder="0" applyProtection="0"/>
    <xf numFmtId="0" fontId="50" fillId="0" borderId="76"/>
    <xf numFmtId="0" fontId="50" fillId="0" borderId="76"/>
    <xf numFmtId="0" fontId="22" fillId="0" borderId="76"/>
    <xf numFmtId="0" fontId="1" fillId="0" borderId="76"/>
    <xf numFmtId="0" fontId="1" fillId="0" borderId="76"/>
    <xf numFmtId="0" fontId="51" fillId="0" borderId="76"/>
    <xf numFmtId="0" fontId="52" fillId="0" borderId="76" applyFill="0" applyProtection="0"/>
    <xf numFmtId="0" fontId="17" fillId="0" borderId="76"/>
    <xf numFmtId="0" fontId="51" fillId="0" borderId="76"/>
    <xf numFmtId="0" fontId="51" fillId="0" borderId="76"/>
    <xf numFmtId="0" fontId="17" fillId="0" borderId="76"/>
    <xf numFmtId="0" fontId="1" fillId="0" borderId="76"/>
    <xf numFmtId="0" fontId="17" fillId="0" borderId="76"/>
    <xf numFmtId="0" fontId="22" fillId="0" borderId="76"/>
    <xf numFmtId="0" fontId="1" fillId="0" borderId="76"/>
    <xf numFmtId="0" fontId="22" fillId="0" borderId="76"/>
    <xf numFmtId="0" fontId="1" fillId="0" borderId="76"/>
    <xf numFmtId="0" fontId="50" fillId="0" borderId="76"/>
    <xf numFmtId="0" fontId="22" fillId="0" borderId="76"/>
    <xf numFmtId="9" fontId="22" fillId="0" borderId="76" applyFont="0" applyFill="0" applyBorder="0" applyAlignment="0" applyProtection="0"/>
  </cellStyleXfs>
  <cellXfs count="411">
    <xf numFmtId="0" fontId="0" fillId="0" borderId="0" xfId="0"/>
    <xf numFmtId="4" fontId="3" fillId="2" borderId="0" xfId="0" applyNumberFormat="1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4" fontId="3" fillId="2" borderId="37" xfId="0" applyNumberFormat="1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6" xfId="0" applyBorder="1"/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4" fontId="3" fillId="0" borderId="4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4" fontId="4" fillId="0" borderId="37" xfId="0" applyNumberFormat="1" applyFont="1" applyBorder="1" applyAlignment="1">
      <alignment horizontal="right" vertical="center"/>
    </xf>
    <xf numFmtId="4" fontId="4" fillId="0" borderId="38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4" fontId="4" fillId="0" borderId="40" xfId="0" applyNumberFormat="1" applyFont="1" applyBorder="1" applyAlignment="1">
      <alignment horizontal="right" vertical="center"/>
    </xf>
    <xf numFmtId="4" fontId="4" fillId="0" borderId="41" xfId="0" applyNumberFormat="1" applyFont="1" applyBorder="1" applyAlignment="1">
      <alignment horizontal="right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4" fontId="12" fillId="0" borderId="54" xfId="0" applyNumberFormat="1" applyFont="1" applyBorder="1" applyAlignment="1">
      <alignment horizontal="right" vertical="center"/>
    </xf>
    <xf numFmtId="0" fontId="11" fillId="0" borderId="57" xfId="0" applyFont="1" applyBorder="1" applyAlignment="1">
      <alignment horizontal="left" vertical="center"/>
    </xf>
    <xf numFmtId="0" fontId="12" fillId="0" borderId="54" xfId="0" applyFont="1" applyBorder="1" applyAlignment="1">
      <alignment horizontal="right" vertical="center"/>
    </xf>
    <xf numFmtId="4" fontId="12" fillId="0" borderId="61" xfId="0" applyNumberFormat="1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4" fontId="12" fillId="0" borderId="52" xfId="0" applyNumberFormat="1" applyFont="1" applyBorder="1" applyAlignment="1">
      <alignment horizontal="right" vertical="center"/>
    </xf>
    <xf numFmtId="4" fontId="12" fillId="0" borderId="30" xfId="0" applyNumberFormat="1" applyFont="1" applyBorder="1" applyAlignment="1">
      <alignment horizontal="right" vertical="center"/>
    </xf>
    <xf numFmtId="4" fontId="11" fillId="2" borderId="51" xfId="0" applyNumberFormat="1" applyFont="1" applyFill="1" applyBorder="1" applyAlignment="1">
      <alignment horizontal="right" vertical="center"/>
    </xf>
    <xf numFmtId="4" fontId="11" fillId="2" borderId="56" xfId="0" applyNumberFormat="1" applyFont="1" applyFill="1" applyBorder="1" applyAlignment="1">
      <alignment horizontal="right" vertical="center"/>
    </xf>
    <xf numFmtId="0" fontId="7" fillId="0" borderId="37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4" fontId="4" fillId="0" borderId="54" xfId="0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left" vertical="center"/>
    </xf>
    <xf numFmtId="4" fontId="4" fillId="0" borderId="78" xfId="0" applyNumberFormat="1" applyFont="1" applyBorder="1" applyAlignment="1">
      <alignment horizontal="right" vertical="center"/>
    </xf>
    <xf numFmtId="0" fontId="4" fillId="0" borderId="78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82" xfId="0" applyFont="1" applyBorder="1" applyAlignment="1">
      <alignment horizontal="right" vertical="center"/>
    </xf>
    <xf numFmtId="4" fontId="3" fillId="0" borderId="8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5" xfId="0" applyBorder="1"/>
    <xf numFmtId="0" fontId="5" fillId="0" borderId="76" xfId="0" applyFont="1" applyBorder="1" applyAlignment="1">
      <alignment horizontal="left" vertical="center"/>
    </xf>
    <xf numFmtId="0" fontId="0" fillId="0" borderId="78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4" fontId="4" fillId="0" borderId="76" xfId="0" applyNumberFormat="1" applyFont="1" applyBorder="1" applyAlignment="1">
      <alignment horizontal="right" vertical="center"/>
    </xf>
    <xf numFmtId="1" fontId="4" fillId="0" borderId="76" xfId="0" applyNumberFormat="1" applyFont="1" applyBorder="1" applyAlignment="1">
      <alignment horizontal="right" vertical="center"/>
    </xf>
    <xf numFmtId="0" fontId="4" fillId="0" borderId="78" xfId="0" applyFont="1" applyBorder="1" applyAlignment="1">
      <alignment horizontal="right" vertical="center"/>
    </xf>
    <xf numFmtId="0" fontId="3" fillId="2" borderId="76" xfId="0" applyFont="1" applyFill="1" applyBorder="1" applyAlignment="1">
      <alignment horizontal="right" vertical="center"/>
    </xf>
    <xf numFmtId="0" fontId="4" fillId="0" borderId="76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6" fillId="0" borderId="75" xfId="0" applyFont="1" applyBorder="1"/>
    <xf numFmtId="0" fontId="6" fillId="0" borderId="76" xfId="0" applyFont="1" applyBorder="1"/>
    <xf numFmtId="0" fontId="6" fillId="0" borderId="78" xfId="0" applyFont="1" applyBorder="1"/>
    <xf numFmtId="0" fontId="0" fillId="0" borderId="76" xfId="0" applyBorder="1"/>
    <xf numFmtId="0" fontId="4" fillId="2" borderId="75" xfId="0" applyFont="1" applyFill="1" applyBorder="1" applyAlignment="1">
      <alignment horizontal="left" vertical="center"/>
    </xf>
    <xf numFmtId="0" fontId="3" fillId="2" borderId="76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/>
    </xf>
    <xf numFmtId="4" fontId="3" fillId="2" borderId="76" xfId="0" applyNumberFormat="1" applyFont="1" applyFill="1" applyBorder="1" applyAlignment="1">
      <alignment horizontal="right" vertical="center"/>
    </xf>
    <xf numFmtId="0" fontId="3" fillId="2" borderId="78" xfId="0" applyFont="1" applyFill="1" applyBorder="1" applyAlignment="1">
      <alignment horizontal="right" vertical="center"/>
    </xf>
    <xf numFmtId="4" fontId="0" fillId="0" borderId="0" xfId="0" applyNumberFormat="1"/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4" fontId="13" fillId="0" borderId="76" xfId="0" applyNumberFormat="1" applyFont="1" applyBorder="1" applyAlignment="1">
      <alignment horizontal="right" vertical="center"/>
    </xf>
    <xf numFmtId="1" fontId="13" fillId="0" borderId="76" xfId="0" applyNumberFormat="1" applyFont="1" applyBorder="1" applyAlignment="1">
      <alignment horizontal="right" vertical="center"/>
    </xf>
    <xf numFmtId="0" fontId="13" fillId="0" borderId="78" xfId="0" applyFont="1" applyBorder="1" applyAlignment="1">
      <alignment horizontal="right" vertical="center"/>
    </xf>
    <xf numFmtId="0" fontId="16" fillId="2" borderId="76" xfId="0" applyFont="1" applyFill="1" applyBorder="1" applyAlignment="1">
      <alignment horizontal="right" vertical="center"/>
    </xf>
    <xf numFmtId="0" fontId="13" fillId="0" borderId="76" xfId="0" applyFont="1" applyBorder="1" applyAlignment="1">
      <alignment horizontal="right" vertical="center"/>
    </xf>
    <xf numFmtId="0" fontId="13" fillId="0" borderId="76" xfId="0" applyFont="1" applyBorder="1" applyAlignment="1">
      <alignment horizontal="left" vertical="center" wrapText="1"/>
    </xf>
    <xf numFmtId="0" fontId="18" fillId="0" borderId="76" xfId="1" applyFont="1" applyAlignment="1">
      <alignment horizontal="left" vertical="top"/>
    </xf>
    <xf numFmtId="0" fontId="18" fillId="0" borderId="76" xfId="1" applyFont="1" applyAlignment="1">
      <alignment vertical="top"/>
    </xf>
    <xf numFmtId="49" fontId="18" fillId="0" borderId="76" xfId="1" applyNumberFormat="1" applyFont="1" applyAlignment="1">
      <alignment horizontal="center" vertical="top"/>
    </xf>
    <xf numFmtId="0" fontId="19" fillId="0" borderId="76" xfId="1" applyFont="1" applyAlignment="1">
      <alignment horizontal="center" vertical="top"/>
    </xf>
    <xf numFmtId="165" fontId="19" fillId="0" borderId="76" xfId="1" applyNumberFormat="1" applyFont="1" applyAlignment="1">
      <alignment horizontal="right" vertical="top"/>
    </xf>
    <xf numFmtId="0" fontId="19" fillId="0" borderId="76" xfId="1" applyFont="1" applyAlignment="1">
      <alignment vertical="top"/>
    </xf>
    <xf numFmtId="49" fontId="18" fillId="0" borderId="76" xfId="1" applyNumberFormat="1" applyFont="1" applyAlignment="1">
      <alignment vertical="top"/>
    </xf>
    <xf numFmtId="0" fontId="18" fillId="0" borderId="76" xfId="1" applyFont="1" applyAlignment="1">
      <alignment horizontal="center" vertical="top"/>
    </xf>
    <xf numFmtId="165" fontId="18" fillId="0" borderId="76" xfId="1" applyNumberFormat="1" applyFont="1" applyAlignment="1">
      <alignment horizontal="right" vertical="top"/>
    </xf>
    <xf numFmtId="0" fontId="18" fillId="0" borderId="76" xfId="1" applyFont="1" applyAlignment="1">
      <alignment horizontal="right" vertical="top"/>
    </xf>
    <xf numFmtId="166" fontId="18" fillId="0" borderId="76" xfId="1" applyNumberFormat="1" applyFont="1" applyAlignment="1">
      <alignment horizontal="left" vertical="top"/>
    </xf>
    <xf numFmtId="167" fontId="18" fillId="0" borderId="76" xfId="1" applyNumberFormat="1" applyFont="1" applyAlignment="1">
      <alignment horizontal="left" vertical="top"/>
    </xf>
    <xf numFmtId="0" fontId="21" fillId="0" borderId="84" xfId="1" applyFont="1" applyBorder="1" applyAlignment="1">
      <alignment horizontal="left" vertical="top"/>
    </xf>
    <xf numFmtId="0" fontId="21" fillId="0" borderId="85" xfId="1" applyFont="1" applyBorder="1" applyAlignment="1">
      <alignment horizontal="center" vertical="top"/>
    </xf>
    <xf numFmtId="49" fontId="21" fillId="0" borderId="86" xfId="1" applyNumberFormat="1" applyFont="1" applyBorder="1" applyAlignment="1">
      <alignment horizontal="center" vertical="top"/>
    </xf>
    <xf numFmtId="0" fontId="21" fillId="0" borderId="87" xfId="1" applyFont="1" applyBorder="1" applyAlignment="1">
      <alignment horizontal="center" vertical="top"/>
    </xf>
    <xf numFmtId="0" fontId="21" fillId="0" borderId="88" xfId="1" applyFont="1" applyBorder="1" applyAlignment="1">
      <alignment horizontal="center" vertical="top"/>
    </xf>
    <xf numFmtId="0" fontId="21" fillId="0" borderId="86" xfId="1" applyFont="1" applyBorder="1" applyAlignment="1">
      <alignment horizontal="center" vertical="top"/>
    </xf>
    <xf numFmtId="0" fontId="17" fillId="0" borderId="76" xfId="1" applyAlignment="1">
      <alignment vertical="top"/>
    </xf>
    <xf numFmtId="0" fontId="21" fillId="0" borderId="89" xfId="1" applyFont="1" applyBorder="1" applyAlignment="1">
      <alignment horizontal="center" vertical="top"/>
    </xf>
    <xf numFmtId="0" fontId="21" fillId="0" borderId="90" xfId="1" applyFont="1" applyBorder="1" applyAlignment="1">
      <alignment horizontal="center" vertical="top"/>
    </xf>
    <xf numFmtId="49" fontId="21" fillId="0" borderId="91" xfId="1" applyNumberFormat="1" applyFont="1" applyBorder="1" applyAlignment="1">
      <alignment horizontal="center" vertical="top"/>
    </xf>
    <xf numFmtId="0" fontId="21" fillId="0" borderId="76" xfId="1" applyFont="1" applyAlignment="1">
      <alignment horizontal="center" vertical="top"/>
    </xf>
    <xf numFmtId="0" fontId="21" fillId="0" borderId="91" xfId="1" applyFont="1" applyBorder="1" applyAlignment="1">
      <alignment horizontal="center" vertical="top"/>
    </xf>
    <xf numFmtId="0" fontId="18" fillId="0" borderId="92" xfId="1" applyFont="1" applyBorder="1" applyAlignment="1">
      <alignment horizontal="left" vertical="top"/>
    </xf>
    <xf numFmtId="0" fontId="19" fillId="0" borderId="93" xfId="1" applyFont="1" applyBorder="1" applyAlignment="1">
      <alignment vertical="top"/>
    </xf>
    <xf numFmtId="0" fontId="19" fillId="0" borderId="94" xfId="1" applyFont="1" applyBorder="1" applyAlignment="1">
      <alignment horizontal="center" vertical="top"/>
    </xf>
    <xf numFmtId="0" fontId="17" fillId="0" borderId="89" xfId="1" applyBorder="1" applyAlignment="1">
      <alignment horizontal="center" vertical="top"/>
    </xf>
    <xf numFmtId="0" fontId="21" fillId="0" borderId="90" xfId="1" applyFont="1" applyBorder="1" applyAlignment="1">
      <alignment horizontal="left" vertical="top"/>
    </xf>
    <xf numFmtId="49" fontId="17" fillId="0" borderId="91" xfId="1" applyNumberFormat="1" applyBorder="1" applyAlignment="1">
      <alignment horizontal="center" vertical="top"/>
    </xf>
    <xf numFmtId="0" fontId="17" fillId="0" borderId="76" xfId="1" applyAlignment="1">
      <alignment horizontal="center" vertical="top"/>
    </xf>
    <xf numFmtId="1" fontId="17" fillId="0" borderId="90" xfId="1" applyNumberFormat="1" applyBorder="1" applyAlignment="1">
      <alignment horizontal="center" vertical="top"/>
    </xf>
    <xf numFmtId="1" fontId="17" fillId="0" borderId="91" xfId="1" applyNumberFormat="1" applyBorder="1" applyAlignment="1">
      <alignment horizontal="center" vertical="top"/>
    </xf>
    <xf numFmtId="0" fontId="17" fillId="0" borderId="90" xfId="1" applyBorder="1" applyAlignment="1">
      <alignment horizontal="left" vertical="top"/>
    </xf>
    <xf numFmtId="0" fontId="17" fillId="0" borderId="95" xfId="1" applyBorder="1" applyAlignment="1">
      <alignment horizontal="center" vertical="top"/>
    </xf>
    <xf numFmtId="0" fontId="17" fillId="0" borderId="95" xfId="1" applyBorder="1" applyAlignment="1">
      <alignment horizontal="left" vertical="top"/>
    </xf>
    <xf numFmtId="49" fontId="17" fillId="0" borderId="96" xfId="1" applyNumberFormat="1" applyBorder="1" applyAlignment="1">
      <alignment horizontal="center" vertical="top"/>
    </xf>
    <xf numFmtId="0" fontId="17" fillId="0" borderId="97" xfId="1" applyBorder="1" applyAlignment="1">
      <alignment horizontal="center" vertical="top"/>
    </xf>
    <xf numFmtId="1" fontId="17" fillId="0" borderId="95" xfId="1" applyNumberFormat="1" applyBorder="1" applyAlignment="1">
      <alignment horizontal="center" vertical="top"/>
    </xf>
    <xf numFmtId="49" fontId="21" fillId="0" borderId="76" xfId="1" applyNumberFormat="1" applyFont="1" applyAlignment="1">
      <alignment horizontal="center" vertical="top"/>
    </xf>
    <xf numFmtId="0" fontId="17" fillId="0" borderId="76" xfId="1" applyAlignment="1">
      <alignment horizontal="right" vertical="top"/>
    </xf>
    <xf numFmtId="1" fontId="17" fillId="0" borderId="98" xfId="1" applyNumberFormat="1" applyBorder="1" applyAlignment="1">
      <alignment horizontal="center" vertical="top"/>
    </xf>
    <xf numFmtId="0" fontId="21" fillId="0" borderId="100" xfId="1" applyFont="1" applyBorder="1" applyAlignment="1">
      <alignment horizontal="left" vertical="top"/>
    </xf>
    <xf numFmtId="165" fontId="17" fillId="0" borderId="76" xfId="1" applyNumberFormat="1" applyAlignment="1">
      <alignment horizontal="right" vertical="top"/>
    </xf>
    <xf numFmtId="0" fontId="18" fillId="0" borderId="100" xfId="1" applyFont="1" applyBorder="1" applyAlignment="1">
      <alignment vertical="top"/>
    </xf>
    <xf numFmtId="49" fontId="18" fillId="0" borderId="97" xfId="1" applyNumberFormat="1" applyFont="1" applyBorder="1" applyAlignment="1">
      <alignment horizontal="center" vertical="top"/>
    </xf>
    <xf numFmtId="0" fontId="18" fillId="0" borderId="97" xfId="1" applyFont="1" applyBorder="1" applyAlignment="1">
      <alignment horizontal="center" vertical="top"/>
    </xf>
    <xf numFmtId="165" fontId="18" fillId="0" borderId="97" xfId="1" applyNumberFormat="1" applyFont="1" applyBorder="1" applyAlignment="1">
      <alignment horizontal="right" vertical="top"/>
    </xf>
    <xf numFmtId="3" fontId="18" fillId="0" borderId="100" xfId="1" applyNumberFormat="1" applyFont="1" applyBorder="1" applyAlignment="1">
      <alignment horizontal="right" vertical="top"/>
    </xf>
    <xf numFmtId="0" fontId="21" fillId="0" borderId="76" xfId="1" applyFont="1" applyAlignment="1">
      <alignment horizontal="left" vertical="top"/>
    </xf>
    <xf numFmtId="0" fontId="17" fillId="0" borderId="76" xfId="1" applyAlignment="1">
      <alignment horizontal="left" vertical="top"/>
    </xf>
    <xf numFmtId="49" fontId="17" fillId="0" borderId="76" xfId="1" applyNumberFormat="1" applyAlignment="1">
      <alignment horizontal="center" vertical="top"/>
    </xf>
    <xf numFmtId="0" fontId="24" fillId="0" borderId="76" xfId="1" applyFont="1" applyAlignment="1">
      <alignment horizontal="left"/>
    </xf>
    <xf numFmtId="0" fontId="25" fillId="0" borderId="76" xfId="1" applyFont="1" applyAlignment="1">
      <alignment horizontal="left"/>
    </xf>
    <xf numFmtId="0" fontId="26" fillId="0" borderId="76" xfId="1" applyFont="1" applyAlignment="1">
      <alignment horizontal="right"/>
    </xf>
    <xf numFmtId="3" fontId="25" fillId="0" borderId="76" xfId="1" applyNumberFormat="1" applyFont="1" applyAlignment="1">
      <alignment horizontal="right"/>
    </xf>
    <xf numFmtId="0" fontId="25" fillId="0" borderId="76" xfId="1" applyFont="1" applyAlignment="1">
      <alignment horizontal="justify"/>
    </xf>
    <xf numFmtId="0" fontId="27" fillId="0" borderId="76" xfId="1" applyFont="1" applyAlignment="1">
      <alignment horizontal="left"/>
    </xf>
    <xf numFmtId="0" fontId="26" fillId="0" borderId="76" xfId="1" applyFont="1" applyAlignment="1">
      <alignment horizontal="left"/>
    </xf>
    <xf numFmtId="3" fontId="28" fillId="0" borderId="99" xfId="1" applyNumberFormat="1" applyFont="1" applyBorder="1" applyAlignment="1">
      <alignment horizontal="right"/>
    </xf>
    <xf numFmtId="168" fontId="25" fillId="0" borderId="76" xfId="1" applyNumberFormat="1" applyFont="1" applyAlignment="1">
      <alignment horizontal="right"/>
    </xf>
    <xf numFmtId="3" fontId="26" fillId="0" borderId="99" xfId="1" applyNumberFormat="1" applyFont="1" applyBorder="1" applyAlignment="1">
      <alignment horizontal="right"/>
    </xf>
    <xf numFmtId="3" fontId="26" fillId="0" borderId="76" xfId="1" applyNumberFormat="1" applyFont="1" applyAlignment="1">
      <alignment horizontal="right"/>
    </xf>
    <xf numFmtId="0" fontId="29" fillId="0" borderId="76" xfId="1" applyFont="1"/>
    <xf numFmtId="0" fontId="24" fillId="0" borderId="76" xfId="1" applyFont="1" applyAlignment="1">
      <alignment horizontal="right"/>
    </xf>
    <xf numFmtId="3" fontId="24" fillId="0" borderId="76" xfId="1" applyNumberFormat="1" applyFont="1" applyAlignment="1">
      <alignment horizontal="right"/>
    </xf>
    <xf numFmtId="3" fontId="25" fillId="0" borderId="76" xfId="1" applyNumberFormat="1" applyFont="1" applyAlignment="1">
      <alignment horizontal="left"/>
    </xf>
    <xf numFmtId="10" fontId="25" fillId="0" borderId="76" xfId="1" applyNumberFormat="1" applyFont="1" applyAlignment="1">
      <alignment horizontal="right"/>
    </xf>
    <xf numFmtId="171" fontId="25" fillId="0" borderId="76" xfId="1" applyNumberFormat="1" applyFont="1" applyAlignment="1">
      <alignment horizontal="left"/>
    </xf>
    <xf numFmtId="172" fontId="28" fillId="0" borderId="76" xfId="1" applyNumberFormat="1" applyFont="1" applyAlignment="1">
      <alignment horizontal="right"/>
    </xf>
    <xf numFmtId="0" fontId="25" fillId="0" borderId="76" xfId="1" applyFont="1" applyAlignment="1">
      <alignment horizontal="right"/>
    </xf>
    <xf numFmtId="3" fontId="29" fillId="0" borderId="76" xfId="1" applyNumberFormat="1" applyFont="1"/>
    <xf numFmtId="0" fontId="26" fillId="0" borderId="76" xfId="1" applyFont="1" applyAlignment="1">
      <alignment horizontal="justify"/>
    </xf>
    <xf numFmtId="0" fontId="17" fillId="0" borderId="76" xfId="1"/>
    <xf numFmtId="1" fontId="26" fillId="0" borderId="76" xfId="1" applyNumberFormat="1" applyFont="1" applyAlignment="1">
      <alignment horizontal="right"/>
    </xf>
    <xf numFmtId="0" fontId="30" fillId="0" borderId="76" xfId="1" applyFont="1"/>
    <xf numFmtId="0" fontId="26" fillId="0" borderId="101" xfId="1" applyFont="1" applyBorder="1" applyAlignment="1">
      <alignment horizontal="left"/>
    </xf>
    <xf numFmtId="0" fontId="25" fillId="0" borderId="101" xfId="1" applyFont="1" applyBorder="1" applyAlignment="1">
      <alignment horizontal="left"/>
    </xf>
    <xf numFmtId="0" fontId="17" fillId="0" borderId="101" xfId="1" applyBorder="1"/>
    <xf numFmtId="0" fontId="26" fillId="0" borderId="101" xfId="1" applyFont="1" applyBorder="1" applyAlignment="1">
      <alignment horizontal="right"/>
    </xf>
    <xf numFmtId="0" fontId="32" fillId="0" borderId="0" xfId="0" applyFont="1" applyAlignment="1">
      <alignment horizontal="left" vertical="center" wrapText="1"/>
    </xf>
    <xf numFmtId="0" fontId="22" fillId="0" borderId="76" xfId="0" applyFont="1" applyBorder="1" applyAlignment="1">
      <alignment horizontal="left" vertical="center"/>
    </xf>
    <xf numFmtId="4" fontId="22" fillId="0" borderId="76" xfId="0" applyNumberFormat="1" applyFont="1" applyBorder="1" applyAlignment="1">
      <alignment horizontal="right" vertical="center"/>
    </xf>
    <xf numFmtId="0" fontId="32" fillId="0" borderId="76" xfId="0" applyFont="1" applyBorder="1" applyAlignment="1">
      <alignment horizontal="left" vertical="center"/>
    </xf>
    <xf numFmtId="0" fontId="31" fillId="0" borderId="76" xfId="0" applyFont="1" applyBorder="1"/>
    <xf numFmtId="4" fontId="32" fillId="0" borderId="76" xfId="0" applyNumberFormat="1" applyFont="1" applyBorder="1" applyAlignment="1">
      <alignment horizontal="right" vertical="center"/>
    </xf>
    <xf numFmtId="0" fontId="22" fillId="0" borderId="75" xfId="0" applyFont="1" applyBorder="1" applyAlignment="1">
      <alignment horizontal="left" vertical="center"/>
    </xf>
    <xf numFmtId="1" fontId="22" fillId="0" borderId="76" xfId="0" applyNumberFormat="1" applyFont="1" applyBorder="1" applyAlignment="1">
      <alignment horizontal="right" vertical="center"/>
    </xf>
    <xf numFmtId="0" fontId="22" fillId="0" borderId="78" xfId="0" applyFont="1" applyBorder="1" applyAlignment="1">
      <alignment horizontal="right" vertical="center"/>
    </xf>
    <xf numFmtId="0" fontId="33" fillId="2" borderId="76" xfId="0" applyFont="1" applyFill="1" applyBorder="1" applyAlignment="1">
      <alignment horizontal="right" vertical="center"/>
    </xf>
    <xf numFmtId="0" fontId="22" fillId="0" borderId="76" xfId="0" applyFont="1" applyBorder="1" applyAlignment="1">
      <alignment horizontal="right" vertical="center"/>
    </xf>
    <xf numFmtId="0" fontId="22" fillId="0" borderId="76" xfId="0" applyFont="1" applyBorder="1" applyAlignment="1">
      <alignment horizontal="left" vertical="center" wrapText="1"/>
    </xf>
    <xf numFmtId="0" fontId="31" fillId="0" borderId="75" xfId="0" applyFont="1" applyBorder="1"/>
    <xf numFmtId="0" fontId="32" fillId="0" borderId="76" xfId="0" applyFont="1" applyBorder="1" applyAlignment="1">
      <alignment horizontal="left" vertical="center" wrapText="1"/>
    </xf>
    <xf numFmtId="0" fontId="31" fillId="0" borderId="78" xfId="0" applyFont="1" applyBorder="1"/>
    <xf numFmtId="0" fontId="37" fillId="0" borderId="76" xfId="4" applyFont="1" applyAlignment="1">
      <alignment horizontal="left" vertical="center"/>
    </xf>
    <xf numFmtId="0" fontId="22" fillId="0" borderId="76" xfId="4" applyAlignment="1">
      <alignment vertical="center"/>
    </xf>
    <xf numFmtId="0" fontId="40" fillId="0" borderId="106" xfId="4" applyFont="1" applyBorder="1" applyAlignment="1">
      <alignment horizontal="center" vertical="center"/>
    </xf>
    <xf numFmtId="49" fontId="40" fillId="0" borderId="106" xfId="4" applyNumberFormat="1" applyFont="1" applyBorder="1" applyAlignment="1">
      <alignment horizontal="left" vertical="center" wrapText="1"/>
    </xf>
    <xf numFmtId="0" fontId="40" fillId="0" borderId="106" xfId="4" applyFont="1" applyBorder="1" applyAlignment="1">
      <alignment horizontal="center" vertical="center" wrapText="1"/>
    </xf>
    <xf numFmtId="174" fontId="40" fillId="0" borderId="106" xfId="4" applyNumberFormat="1" applyFont="1" applyBorder="1" applyAlignment="1">
      <alignment vertical="center"/>
    </xf>
    <xf numFmtId="0" fontId="42" fillId="0" borderId="76" xfId="4" applyFont="1" applyAlignment="1">
      <alignment horizontal="left" vertical="center"/>
    </xf>
    <xf numFmtId="0" fontId="43" fillId="0" borderId="76" xfId="4" applyFont="1" applyAlignment="1">
      <alignment horizontal="left" vertical="center" wrapText="1"/>
    </xf>
    <xf numFmtId="0" fontId="40" fillId="0" borderId="106" xfId="4" applyFont="1" applyBorder="1" applyAlignment="1">
      <alignment horizontal="left" vertical="center" wrapText="1"/>
    </xf>
    <xf numFmtId="0" fontId="36" fillId="0" borderId="106" xfId="4" applyFont="1" applyBorder="1" applyAlignment="1">
      <alignment horizontal="center" vertical="center"/>
    </xf>
    <xf numFmtId="49" fontId="36" fillId="0" borderId="106" xfId="4" applyNumberFormat="1" applyFont="1" applyBorder="1" applyAlignment="1">
      <alignment horizontal="left" vertical="center" wrapText="1"/>
    </xf>
    <xf numFmtId="0" fontId="36" fillId="0" borderId="106" xfId="4" applyFont="1" applyBorder="1" applyAlignment="1">
      <alignment horizontal="left" vertical="center" wrapText="1"/>
    </xf>
    <xf numFmtId="0" fontId="36" fillId="0" borderId="106" xfId="4" applyFont="1" applyBorder="1" applyAlignment="1">
      <alignment horizontal="center" vertical="center" wrapText="1"/>
    </xf>
    <xf numFmtId="174" fontId="36" fillId="0" borderId="106" xfId="4" applyNumberFormat="1" applyFont="1" applyBorder="1" applyAlignment="1">
      <alignment vertical="center"/>
    </xf>
    <xf numFmtId="0" fontId="40" fillId="0" borderId="106" xfId="0" applyFont="1" applyBorder="1" applyAlignment="1">
      <alignment horizontal="left" vertical="center" wrapText="1"/>
    </xf>
    <xf numFmtId="174" fontId="40" fillId="0" borderId="106" xfId="0" applyNumberFormat="1" applyFont="1" applyBorder="1" applyAlignment="1">
      <alignment vertical="center"/>
    </xf>
    <xf numFmtId="0" fontId="0" fillId="0" borderId="76" xfId="0" applyBorder="1" applyAlignment="1">
      <alignment vertical="center"/>
    </xf>
    <xf numFmtId="0" fontId="0" fillId="5" borderId="76" xfId="0" applyFill="1" applyBorder="1" applyAlignment="1">
      <alignment vertical="center"/>
    </xf>
    <xf numFmtId="0" fontId="40" fillId="0" borderId="76" xfId="0" applyFont="1" applyBorder="1" applyAlignment="1">
      <alignment horizontal="center" vertical="center" wrapText="1"/>
    </xf>
    <xf numFmtId="174" fontId="40" fillId="0" borderId="76" xfId="0" applyNumberFormat="1" applyFont="1" applyBorder="1" applyAlignment="1">
      <alignment vertical="center"/>
    </xf>
    <xf numFmtId="0" fontId="42" fillId="5" borderId="76" xfId="0" applyFont="1" applyFill="1" applyBorder="1" applyAlignment="1">
      <alignment horizontal="left" vertical="center"/>
    </xf>
    <xf numFmtId="0" fontId="45" fillId="0" borderId="99" xfId="10" applyFont="1" applyBorder="1" applyAlignment="1">
      <alignment vertical="top"/>
    </xf>
    <xf numFmtId="0" fontId="22" fillId="0" borderId="99" xfId="10" applyBorder="1" applyAlignment="1">
      <alignment vertical="top"/>
    </xf>
    <xf numFmtId="0" fontId="22" fillId="0" borderId="99" xfId="11" applyBorder="1" applyAlignment="1">
      <alignment vertical="top"/>
    </xf>
    <xf numFmtId="0" fontId="22" fillId="5" borderId="99" xfId="11" applyFill="1" applyBorder="1" applyAlignment="1">
      <alignment vertical="top"/>
    </xf>
    <xf numFmtId="0" fontId="22" fillId="0" borderId="76" xfId="10" applyAlignment="1">
      <alignment vertical="top"/>
    </xf>
    <xf numFmtId="0" fontId="22" fillId="0" borderId="99" xfId="14" applyBorder="1" applyAlignment="1">
      <alignment vertical="top"/>
    </xf>
    <xf numFmtId="0" fontId="34" fillId="4" borderId="102" xfId="8" applyFont="1" applyFill="1" applyBorder="1" applyAlignment="1">
      <alignment vertical="center"/>
    </xf>
    <xf numFmtId="0" fontId="34" fillId="4" borderId="76" xfId="8" applyFont="1" applyFill="1" applyAlignment="1">
      <alignment vertical="center"/>
    </xf>
    <xf numFmtId="0" fontId="18" fillId="4" borderId="102" xfId="8" applyFont="1" applyFill="1" applyBorder="1" applyAlignment="1">
      <alignment vertical="center"/>
    </xf>
    <xf numFmtId="173" fontId="35" fillId="4" borderId="105" xfId="9" applyNumberFormat="1" applyFont="1" applyFill="1" applyBorder="1" applyAlignment="1">
      <alignment vertical="center"/>
    </xf>
    <xf numFmtId="0" fontId="36" fillId="4" borderId="99" xfId="8" applyFont="1" applyFill="1" applyBorder="1" applyAlignment="1">
      <alignment horizontal="center" vertical="center" wrapText="1"/>
    </xf>
    <xf numFmtId="0" fontId="38" fillId="0" borderId="76" xfId="4" applyFont="1" applyAlignment="1">
      <alignment vertical="center"/>
    </xf>
    <xf numFmtId="0" fontId="38" fillId="0" borderId="76" xfId="4" applyFont="1" applyAlignment="1">
      <alignment horizontal="left" vertical="center"/>
    </xf>
    <xf numFmtId="0" fontId="39" fillId="0" borderId="76" xfId="4" applyFont="1" applyAlignment="1">
      <alignment horizontal="left" vertical="center"/>
    </xf>
    <xf numFmtId="4" fontId="41" fillId="0" borderId="108" xfId="8" applyNumberFormat="1" applyFont="1" applyBorder="1" applyAlignment="1" applyProtection="1">
      <alignment vertical="center"/>
      <protection locked="0"/>
    </xf>
    <xf numFmtId="4" fontId="41" fillId="3" borderId="107" xfId="8" applyNumberFormat="1" applyFont="1" applyFill="1" applyBorder="1" applyAlignment="1" applyProtection="1">
      <alignment vertical="center"/>
      <protection locked="0"/>
    </xf>
    <xf numFmtId="0" fontId="53" fillId="0" borderId="76" xfId="10" applyFont="1" applyAlignment="1">
      <alignment vertical="top"/>
    </xf>
    <xf numFmtId="0" fontId="55" fillId="0" borderId="99" xfId="10" applyFont="1" applyBorder="1" applyAlignment="1">
      <alignment vertical="top"/>
    </xf>
    <xf numFmtId="0" fontId="53" fillId="0" borderId="76" xfId="10" applyFont="1" applyAlignment="1">
      <alignment horizontal="center" vertical="top"/>
    </xf>
    <xf numFmtId="175" fontId="53" fillId="0" borderId="76" xfId="10" applyNumberFormat="1" applyFont="1" applyAlignment="1">
      <alignment vertical="top"/>
    </xf>
    <xf numFmtId="0" fontId="54" fillId="0" borderId="99" xfId="10" applyFont="1" applyBorder="1" applyAlignment="1">
      <alignment horizontal="left" vertical="top" wrapText="1"/>
    </xf>
    <xf numFmtId="0" fontId="55" fillId="0" borderId="99" xfId="10" applyFont="1" applyBorder="1" applyAlignment="1">
      <alignment horizontal="center" vertical="top"/>
    </xf>
    <xf numFmtId="175" fontId="56" fillId="0" borderId="99" xfId="10" applyNumberFormat="1" applyFont="1" applyBorder="1" applyAlignment="1">
      <alignment horizontal="center" vertical="top"/>
    </xf>
    <xf numFmtId="0" fontId="44" fillId="0" borderId="99" xfId="10" applyFont="1" applyBorder="1" applyAlignment="1">
      <alignment horizontal="left" vertical="top" wrapText="1"/>
    </xf>
    <xf numFmtId="0" fontId="45" fillId="0" borderId="99" xfId="10" applyFont="1" applyBorder="1" applyAlignment="1">
      <alignment horizontal="center" vertical="top"/>
    </xf>
    <xf numFmtId="175" fontId="44" fillId="0" borderId="99" xfId="10" applyNumberFormat="1" applyFont="1" applyBorder="1" applyAlignment="1">
      <alignment horizontal="center" vertical="top"/>
    </xf>
    <xf numFmtId="175" fontId="44" fillId="0" borderId="104" xfId="10" applyNumberFormat="1" applyFont="1" applyBorder="1" applyAlignment="1">
      <alignment horizontal="center" vertical="top"/>
    </xf>
    <xf numFmtId="0" fontId="22" fillId="0" borderId="99" xfId="11" applyBorder="1" applyAlignment="1">
      <alignment horizontal="left" vertical="top" wrapText="1"/>
    </xf>
    <xf numFmtId="0" fontId="22" fillId="0" borderId="99" xfId="12" applyBorder="1" applyAlignment="1">
      <alignment horizontal="center" vertical="top"/>
    </xf>
    <xf numFmtId="175" fontId="17" fillId="0" borderId="99" xfId="10" applyNumberFormat="1" applyFont="1" applyBorder="1" applyAlignment="1">
      <alignment vertical="top"/>
    </xf>
    <xf numFmtId="175" fontId="17" fillId="0" borderId="104" xfId="10" applyNumberFormat="1" applyFont="1" applyBorder="1" applyAlignment="1">
      <alignment vertical="top"/>
    </xf>
    <xf numFmtId="0" fontId="22" fillId="0" borderId="99" xfId="13" applyBorder="1" applyAlignment="1">
      <alignment horizontal="left" vertical="top" wrapText="1"/>
    </xf>
    <xf numFmtId="0" fontId="22" fillId="0" borderId="99" xfId="13" applyBorder="1" applyAlignment="1">
      <alignment horizontal="left" vertical="top"/>
    </xf>
    <xf numFmtId="175" fontId="22" fillId="0" borderId="99" xfId="10" applyNumberFormat="1" applyBorder="1" applyAlignment="1">
      <alignment vertical="top"/>
    </xf>
    <xf numFmtId="0" fontId="22" fillId="0" borderId="99" xfId="10" applyBorder="1" applyAlignment="1">
      <alignment vertical="top" wrapText="1"/>
    </xf>
    <xf numFmtId="0" fontId="22" fillId="0" borderId="99" xfId="10" applyBorder="1" applyAlignment="1">
      <alignment horizontal="center" vertical="top"/>
    </xf>
    <xf numFmtId="0" fontId="46" fillId="0" borderId="99" xfId="10" applyFont="1" applyBorder="1" applyAlignment="1">
      <alignment vertical="top" wrapText="1"/>
    </xf>
    <xf numFmtId="0" fontId="0" fillId="0" borderId="99" xfId="13" applyFont="1" applyBorder="1" applyAlignment="1">
      <alignment horizontal="left" vertical="top" wrapText="1"/>
    </xf>
    <xf numFmtId="0" fontId="22" fillId="5" borderId="99" xfId="13" applyFill="1" applyBorder="1" applyAlignment="1">
      <alignment horizontal="left" vertical="top"/>
    </xf>
    <xf numFmtId="0" fontId="22" fillId="5" borderId="99" xfId="12" applyFill="1" applyBorder="1" applyAlignment="1">
      <alignment horizontal="center" vertical="top"/>
    </xf>
    <xf numFmtId="0" fontId="22" fillId="0" borderId="76" xfId="10" applyAlignment="1">
      <alignment horizontal="center" vertical="top"/>
    </xf>
    <xf numFmtId="175" fontId="22" fillId="0" borderId="76" xfId="10" applyNumberFormat="1" applyAlignment="1">
      <alignment vertical="top"/>
    </xf>
    <xf numFmtId="175" fontId="33" fillId="0" borderId="76" xfId="10" applyNumberFormat="1" applyFont="1" applyAlignment="1">
      <alignment vertical="top"/>
    </xf>
    <xf numFmtId="0" fontId="0" fillId="0" borderId="99" xfId="13" applyFont="1" applyBorder="1" applyAlignment="1">
      <alignment horizontal="left" vertical="top"/>
    </xf>
    <xf numFmtId="175" fontId="54" fillId="0" borderId="99" xfId="10" applyNumberFormat="1" applyFont="1" applyBorder="1" applyAlignment="1">
      <alignment horizontal="center" vertical="top"/>
    </xf>
    <xf numFmtId="175" fontId="54" fillId="0" borderId="104" xfId="10" applyNumberFormat="1" applyFont="1" applyBorder="1" applyAlignment="1">
      <alignment horizontal="center" vertical="top"/>
    </xf>
    <xf numFmtId="0" fontId="58" fillId="0" borderId="0" xfId="0" applyFont="1"/>
    <xf numFmtId="0" fontId="57" fillId="0" borderId="0" xfId="0" applyFont="1"/>
    <xf numFmtId="0" fontId="2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0" fontId="31" fillId="0" borderId="0" xfId="0" applyFont="1"/>
    <xf numFmtId="4" fontId="32" fillId="0" borderId="0" xfId="0" applyNumberFormat="1" applyFont="1" applyAlignment="1">
      <alignment horizontal="right" vertical="center"/>
    </xf>
    <xf numFmtId="0" fontId="59" fillId="0" borderId="0" xfId="0" applyFont="1"/>
    <xf numFmtId="0" fontId="15" fillId="0" borderId="76" xfId="0" applyFont="1" applyBorder="1" applyAlignment="1">
      <alignment horizontal="left" vertical="center"/>
    </xf>
    <xf numFmtId="4" fontId="15" fillId="0" borderId="76" xfId="0" applyNumberFormat="1" applyFont="1" applyBorder="1" applyAlignment="1">
      <alignment horizontal="right" vertical="center"/>
    </xf>
    <xf numFmtId="4" fontId="5" fillId="0" borderId="76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/>
    </xf>
    <xf numFmtId="4" fontId="5" fillId="0" borderId="40" xfId="0" applyNumberFormat="1" applyFont="1" applyBorder="1" applyAlignment="1">
      <alignment horizontal="right" vertical="center"/>
    </xf>
    <xf numFmtId="3" fontId="25" fillId="0" borderId="99" xfId="1" applyNumberFormat="1" applyFont="1" applyBorder="1" applyAlignment="1">
      <alignment horizontal="right"/>
    </xf>
    <xf numFmtId="169" fontId="25" fillId="0" borderId="76" xfId="1" applyNumberFormat="1" applyFont="1" applyAlignment="1">
      <alignment horizontal="right"/>
    </xf>
    <xf numFmtId="170" fontId="25" fillId="0" borderId="76" xfId="1" applyNumberFormat="1" applyFont="1" applyAlignment="1">
      <alignment horizontal="right"/>
    </xf>
    <xf numFmtId="3" fontId="21" fillId="0" borderId="99" xfId="1" applyNumberFormat="1" applyFont="1" applyBorder="1" applyAlignment="1">
      <alignment horizontal="right"/>
    </xf>
    <xf numFmtId="3" fontId="21" fillId="0" borderId="100" xfId="1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 wrapText="1"/>
    </xf>
    <xf numFmtId="14" fontId="4" fillId="0" borderId="41" xfId="0" applyNumberFormat="1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58" xfId="0" applyFont="1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55" xfId="0" applyFont="1" applyFill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 wrapText="1"/>
    </xf>
    <xf numFmtId="14" fontId="4" fillId="0" borderId="8" xfId="0" applyNumberFormat="1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22" fillId="0" borderId="76" xfId="0" applyFont="1" applyBorder="1" applyAlignment="1">
      <alignment horizontal="left" vertical="center" wrapText="1"/>
    </xf>
    <xf numFmtId="0" fontId="22" fillId="0" borderId="76" xfId="0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76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" fillId="2" borderId="76" xfId="0" applyFont="1" applyFill="1" applyBorder="1" applyAlignment="1">
      <alignment horizontal="left" vertical="center" wrapText="1"/>
    </xf>
    <xf numFmtId="0" fontId="3" fillId="2" borderId="76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11" fillId="0" borderId="80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4" fontId="11" fillId="0" borderId="83" xfId="0" applyNumberFormat="1" applyFont="1" applyBorder="1" applyAlignment="1">
      <alignment horizontal="right" vertical="center"/>
    </xf>
    <xf numFmtId="0" fontId="11" fillId="0" borderId="80" xfId="0" applyFont="1" applyBorder="1" applyAlignment="1">
      <alignment horizontal="right" vertical="center"/>
    </xf>
    <xf numFmtId="0" fontId="11" fillId="0" borderId="81" xfId="0" applyFont="1" applyBorder="1" applyAlignment="1">
      <alignment horizontal="right" vertical="center"/>
    </xf>
    <xf numFmtId="0" fontId="35" fillId="4" borderId="103" xfId="8" applyFont="1" applyFill="1" applyBorder="1" applyAlignment="1">
      <alignment horizontal="center" vertical="center"/>
    </xf>
    <xf numFmtId="0" fontId="35" fillId="4" borderId="104" xfId="8" applyFont="1" applyFill="1" applyBorder="1" applyAlignment="1">
      <alignment horizontal="center" vertical="center"/>
    </xf>
  </cellXfs>
  <cellStyles count="42">
    <cellStyle name="ColStyle1" xfId="11" xr:uid="{00000000-0005-0000-0000-000000000000}"/>
    <cellStyle name="ColStyle2" xfId="13" xr:uid="{00000000-0005-0000-0000-000001000000}"/>
    <cellStyle name="ColStyle3" xfId="14" xr:uid="{00000000-0005-0000-0000-000002000000}"/>
    <cellStyle name="ColStyle4" xfId="12" xr:uid="{00000000-0005-0000-0000-000003000000}"/>
    <cellStyle name="Čárka 2" xfId="15" xr:uid="{00000000-0005-0000-0000-000004000000}"/>
    <cellStyle name="Čárka 3" xfId="16" xr:uid="{00000000-0005-0000-0000-000005000000}"/>
    <cellStyle name="Čárka 4" xfId="9" xr:uid="{00000000-0005-0000-0000-000006000000}"/>
    <cellStyle name="Hyperlink" xfId="17" xr:uid="{00000000-0005-0000-0000-000007000000}"/>
    <cellStyle name="Hypertextový odkaz 2" xfId="18" xr:uid="{00000000-0005-0000-0000-000008000000}"/>
    <cellStyle name="Hypertextový odkaz 3" xfId="19" xr:uid="{00000000-0005-0000-0000-000009000000}"/>
    <cellStyle name="Hypertextový odkaz 4" xfId="20" xr:uid="{00000000-0005-0000-0000-00000A000000}"/>
    <cellStyle name="Normal_201 - Chapter 01 - Preliminaries" xfId="21" xr:uid="{00000000-0005-0000-0000-00000B000000}"/>
    <cellStyle name="Normální" xfId="0" builtinId="0"/>
    <cellStyle name="Normální 10" xfId="22" xr:uid="{00000000-0005-0000-0000-00000D000000}"/>
    <cellStyle name="Normální 11" xfId="23" xr:uid="{00000000-0005-0000-0000-00000E000000}"/>
    <cellStyle name="Normální 11 2" xfId="24" xr:uid="{00000000-0005-0000-0000-00000F000000}"/>
    <cellStyle name="Normální 12" xfId="25" xr:uid="{00000000-0005-0000-0000-000010000000}"/>
    <cellStyle name="Normální 13" xfId="26" xr:uid="{00000000-0005-0000-0000-000011000000}"/>
    <cellStyle name="Normální 14" xfId="27" xr:uid="{00000000-0005-0000-0000-000012000000}"/>
    <cellStyle name="Normální 15" xfId="28" xr:uid="{00000000-0005-0000-0000-000013000000}"/>
    <cellStyle name="Normální 15 2" xfId="29" xr:uid="{00000000-0005-0000-0000-000014000000}"/>
    <cellStyle name="Normální 16" xfId="30" xr:uid="{00000000-0005-0000-0000-000015000000}"/>
    <cellStyle name="Normální 17" xfId="31" xr:uid="{00000000-0005-0000-0000-000016000000}"/>
    <cellStyle name="Normální 18" xfId="32" xr:uid="{00000000-0005-0000-0000-000017000000}"/>
    <cellStyle name="Normální 19" xfId="33" xr:uid="{00000000-0005-0000-0000-000018000000}"/>
    <cellStyle name="normální 2" xfId="1" xr:uid="{00000000-0005-0000-0000-000019000000}"/>
    <cellStyle name="normální 2 2" xfId="2" xr:uid="{00000000-0005-0000-0000-00001A000000}"/>
    <cellStyle name="Normální 2 3" xfId="34" xr:uid="{00000000-0005-0000-0000-00001B000000}"/>
    <cellStyle name="Normální 2 4" xfId="35" xr:uid="{00000000-0005-0000-0000-00001C000000}"/>
    <cellStyle name="Normální 2 5" xfId="36" xr:uid="{00000000-0005-0000-0000-00001D000000}"/>
    <cellStyle name="Normální 20" xfId="8" xr:uid="{00000000-0005-0000-0000-00001E000000}"/>
    <cellStyle name="normální 3" xfId="3" xr:uid="{00000000-0005-0000-0000-00001F000000}"/>
    <cellStyle name="normální 3 2 2" xfId="10" xr:uid="{00000000-0005-0000-0000-000020000000}"/>
    <cellStyle name="Normální 3 5 2" xfId="37" xr:uid="{00000000-0005-0000-0000-000021000000}"/>
    <cellStyle name="normální 4" xfId="4" xr:uid="{00000000-0005-0000-0000-000022000000}"/>
    <cellStyle name="normální 5" xfId="5" xr:uid="{00000000-0005-0000-0000-000023000000}"/>
    <cellStyle name="Normální 5 2" xfId="38" xr:uid="{00000000-0005-0000-0000-000024000000}"/>
    <cellStyle name="normální 6" xfId="6" xr:uid="{00000000-0005-0000-0000-000025000000}"/>
    <cellStyle name="normální 7" xfId="7" xr:uid="{00000000-0005-0000-0000-000026000000}"/>
    <cellStyle name="Normální 8" xfId="39" xr:uid="{00000000-0005-0000-0000-000027000000}"/>
    <cellStyle name="Normální 9" xfId="40" xr:uid="{00000000-0005-0000-0000-000028000000}"/>
    <cellStyle name="Procenta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Akce_2010\10105_Centrum%20Male&#353;ice\Podklady_od_zakaznika\VV_profese\Pav&#269;a\Pr&#225;ce%20Questima\10011_RD%20B&#345;evnov\10011_RD%20B&#345;evnov%20-%20VV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kancelar\data\DATA\Akce_20\Zdiby\HT%20v&#253;po&#269;ty%20ZDIB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emrad\12_Rekonstrukce%20vod&#225;rny-Praha%20Bran&#237;k\SO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el\disk%20d\DATA\Akce_20\Zdiby\HT%20v&#253;po&#269;ty%20ZDIB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rystal%20Prague(OAC%20Millennium%202008)\7_PP\F1_Stavebn&#237;%20objekt%20SO-xx\F1_4c%20Za&#345;&#237;zen&#237;%20vzduchotechniky\Dokumentace%20k%20odsouhlasen&#237;\131107_V_Crystal_1.PP-4.PP\Digitalne%20otevrene\List\F.7.01_Tabulka_FC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kancelar\Data\DATA\Dokumenty\Technick&#233;%20zpr&#225;vy%2098\Z&#225;kupy\V&#253;po&#269;ty%20ZAKU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zr\AppData\Local\Microsoft\Windows\Temporary%20Internet%20Files\Content.Outlook\RXJDTY8Y\Copy%20of%20R_Rustonka_TD_FIT%20OUT_RO_z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_1"/>
      <sheetName val="Rekapitulace_2"/>
      <sheetName val="Výkaz výměr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ák tuků"/>
      <sheetName val="Šachty"/>
      <sheetName val="Kanalizace"/>
      <sheetName val="Vodvodní přípojka"/>
      <sheetName val="Splašková"/>
      <sheetName val="Dešťová kanalizace"/>
      <sheetName val="Plynovod"/>
      <sheetName val="Čerpadla"/>
      <sheetName val="Koryto"/>
      <sheetName val="Napojení UV"/>
      <sheetName val="Napojení DS"/>
      <sheetName val="Hydrotechnické výpočty"/>
      <sheetName val="Nádrž HRANATÁ"/>
      <sheetName val="Výtok z hranaté nádrže"/>
      <sheetName val="Koryto obdélník"/>
      <sheetName val="Nádrž N2"/>
      <sheetName val="List2"/>
      <sheetName val="Tabulky"/>
      <sheetName val="křivka plnění"/>
      <sheetName val="PrůtokPotrubím"/>
      <sheetName val="křivka plnění (2)"/>
      <sheetName val="Průtok vodovodní př"/>
      <sheetName val="Legenda"/>
      <sheetName val="výpis šachet (2)"/>
      <sheetName val="Napojení vpustí"/>
      <sheetName val="Propočet (2)"/>
      <sheetName val="Výkaz materiálu"/>
      <sheetName val="VODA+PLYN"/>
      <sheetName val="SO 14 - splašky"/>
      <sheetName val="SO15 deště"/>
      <sheetName val="Šachty deště"/>
      <sheetName val="Šachty splašky"/>
      <sheetName val="Přístavba haly"/>
      <sheetName val="Lapák_tuků"/>
      <sheetName val="Vodvodní_přípojka"/>
      <sheetName val="Dešťová_kanalizace"/>
      <sheetName val="Napojení_UV"/>
      <sheetName val="Napojení_DS"/>
      <sheetName val="Hydrotechnické_výpočty"/>
      <sheetName val="Nádrž_HRANATÁ"/>
      <sheetName val="Výtok_z_hranaté_nádrže"/>
      <sheetName val="Koryto_obdélník"/>
      <sheetName val="Nádrž_N2"/>
      <sheetName val="křivka_plnění"/>
      <sheetName val="křivka_plnění_(2)"/>
      <sheetName val="Průtok_vodovodní_př"/>
      <sheetName val="výpis_šachet_(2)"/>
      <sheetName val="Napojení_vpustí"/>
      <sheetName val="Propočet_(2)"/>
      <sheetName val="Výkaz_materiálu"/>
      <sheetName val="SO_14_-_splašky"/>
      <sheetName val="SO15_deště"/>
      <sheetName val="Šachty_deště"/>
      <sheetName val="Šachty_splašky"/>
      <sheetName val="Přístavba_haly"/>
      <sheetName val="Přechod STL"/>
      <sheetName val="HV I.etapa"/>
      <sheetName val="HV III.etapa"/>
      <sheetName val="Lapák_tuků1"/>
      <sheetName val="Vodvodní_přípojka1"/>
      <sheetName val="Dešťová_kanalizace1"/>
      <sheetName val="Napojení_UV1"/>
      <sheetName val="Napojení_DS1"/>
      <sheetName val="Hydrotechnické_výpočty1"/>
      <sheetName val="Nádrž_HRANATÁ1"/>
      <sheetName val="Výtok_z_hranaté_nádrže1"/>
      <sheetName val="Koryto_obdélník1"/>
      <sheetName val="Nádrž_N21"/>
      <sheetName val="křivka_plnění1"/>
      <sheetName val="křivka_plnění_(2)1"/>
      <sheetName val="Průtok_vodovodní_př1"/>
      <sheetName val="výpis_šachet_(2)1"/>
      <sheetName val="Napojení_vpustí1"/>
      <sheetName val="Propočet_(2)1"/>
      <sheetName val="Výkaz_materiálu1"/>
      <sheetName val="SO_14_-_splašky1"/>
      <sheetName val="SO15_deště1"/>
      <sheetName val="Šachty_deště1"/>
      <sheetName val="Šachty_splašky1"/>
      <sheetName val="Přístavba_ha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  <sheetName val="so.01_stavební část"/>
    </sheetNames>
    <sheetDataSet>
      <sheetData sheetId="0">
        <row r="5">
          <cell r="A5" t="str">
            <v>01</v>
          </cell>
          <cell r="C5" t="str">
            <v>Kulturně společenský objekt</v>
          </cell>
        </row>
        <row r="7">
          <cell r="A7" t="str">
            <v>0060</v>
          </cell>
          <cell r="C7" t="str">
            <v>Rekonstrukce vodárny, ul Vltavanů 229, I ETAPA</v>
          </cell>
        </row>
      </sheetData>
      <sheetData sheetId="1">
        <row r="50">
          <cell r="E50">
            <v>22989260.483799994</v>
          </cell>
          <cell r="F50">
            <v>46435401.647800006</v>
          </cell>
          <cell r="G50">
            <v>75894.549999999988</v>
          </cell>
          <cell r="H50">
            <v>13031171.959999999</v>
          </cell>
          <cell r="I50">
            <v>0</v>
          </cell>
        </row>
        <row r="69">
          <cell r="H69">
            <v>9243516.5549099986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pák tuků"/>
      <sheetName val="Šachty"/>
      <sheetName val="Kanalizace"/>
      <sheetName val="Vodvodní přípojka"/>
      <sheetName val="Splašková"/>
      <sheetName val="Dešťová kanalizace"/>
      <sheetName val="Plynovod"/>
      <sheetName val="Čerpadla"/>
      <sheetName val="Koryto"/>
      <sheetName val="Napojení UV"/>
      <sheetName val="Napojení DS"/>
      <sheetName val="Hydrotechnické výpočty"/>
      <sheetName val="Nádrž HRANATÁ"/>
      <sheetName val="Výtok z hranaté nádrže"/>
      <sheetName val="Koryto obdélník"/>
      <sheetName val="Nádrž N2"/>
      <sheetName val="List2"/>
      <sheetName val="Tabulky"/>
      <sheetName val="křivka plnění"/>
      <sheetName val="PrůtokPotrubím"/>
      <sheetName val="křivka plnění (2)"/>
      <sheetName val="Průtok vodovodní př"/>
      <sheetName val="Legenda"/>
      <sheetName val="výpis šachet (2)"/>
      <sheetName val="Napojení vpustí"/>
      <sheetName val="Propočet (2)"/>
      <sheetName val="Výkaz materiálu"/>
      <sheetName val="VODA+PLYN"/>
      <sheetName val="SO 14 - splašky"/>
      <sheetName val="SO15 deště"/>
      <sheetName val="Šachty deště"/>
      <sheetName val="Šachty splašky"/>
      <sheetName val="Přístavba haly"/>
      <sheetName val="Lapák_tuků"/>
      <sheetName val="Vodvodní_přípojka"/>
      <sheetName val="Dešťová_kanalizace"/>
      <sheetName val="Napojení_UV"/>
      <sheetName val="Napojení_DS"/>
      <sheetName val="Hydrotechnické_výpočty"/>
      <sheetName val="Nádrž_HRANATÁ"/>
      <sheetName val="Výtok_z_hranaté_nádrže"/>
      <sheetName val="Koryto_obdélník"/>
      <sheetName val="Nádrž_N2"/>
      <sheetName val="křivka_plnění"/>
      <sheetName val="křivka_plnění_(2)"/>
      <sheetName val="Průtok_vodovodní_př"/>
      <sheetName val="výpis_šachet_(2)"/>
      <sheetName val="Napojení_vpustí"/>
      <sheetName val="Propočet_(2)"/>
      <sheetName val="Výkaz_materiálu"/>
      <sheetName val="SO_14_-_splašky"/>
      <sheetName val="SO15_deště"/>
      <sheetName val="Šachty_deště"/>
      <sheetName val="Šachty_splašky"/>
      <sheetName val="Přístavba_haly"/>
      <sheetName val="Přechod STL"/>
      <sheetName val="HV I.etapa"/>
      <sheetName val="HV III.etapa"/>
      <sheetName val="Lapák_tuků1"/>
      <sheetName val="Vodvodní_přípojka1"/>
      <sheetName val="Dešťová_kanalizace1"/>
      <sheetName val="Napojení_UV1"/>
      <sheetName val="Napojení_DS1"/>
      <sheetName val="Hydrotechnické_výpočty1"/>
      <sheetName val="Nádrž_HRANATÁ1"/>
      <sheetName val="Výtok_z_hranaté_nádrže1"/>
      <sheetName val="Koryto_obdélník1"/>
      <sheetName val="Nádrž_N21"/>
      <sheetName val="křivka_plnění1"/>
      <sheetName val="křivka_plnění_(2)1"/>
      <sheetName val="Průtok_vodovodní_př1"/>
      <sheetName val="výpis_šachet_(2)1"/>
      <sheetName val="Napojení_vpustí1"/>
      <sheetName val="Propočet_(2)1"/>
      <sheetName val="Výkaz_materiálu1"/>
      <sheetName val="SO_14_-_splašky1"/>
      <sheetName val="SO15_deště1"/>
      <sheetName val="Šachty_deště1"/>
      <sheetName val="Šachty_splašky1"/>
      <sheetName val="Přístavba_ha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FCU"/>
      <sheetName val="FCU-objemový průtok"/>
      <sheetName val="FCU-příkon"/>
      <sheetName val="FCU-proud"/>
      <sheetName val="FCU-C+H_průtok"/>
      <sheetName val="FCU-C+H_odpor"/>
      <sheetName val="FCU-C+H_výkon"/>
      <sheetName val="FCU-akustický tlak"/>
      <sheetName val="FCU-C+H_dimenze připojení"/>
      <sheetName val="C+H_média"/>
      <sheetName val="výkaz výměr"/>
      <sheetName val="zakazka"/>
      <sheetName val="kryci list"/>
      <sheetName val="total merck costs"/>
      <sheetName val="so.01_stavební část"/>
      <sheetName val="FCU-objemový_průtok"/>
      <sheetName val="FCU-akustický_tlak"/>
      <sheetName val="FCU-C+H_dimenze_připojení"/>
      <sheetName val="skř"/>
      <sheetName val="SO 01 - 06 ELEKTROINSTALACE"/>
      <sheetName val="stavební úpravy"/>
      <sheetName val="so01_slp"/>
    </sheetNames>
    <sheetDataSet>
      <sheetData sheetId="0" refreshError="1"/>
      <sheetData sheetId="1">
        <row r="42">
          <cell r="B42" t="str">
            <v>S0</v>
          </cell>
        </row>
        <row r="43">
          <cell r="B43" t="str">
            <v>S1</v>
          </cell>
        </row>
        <row r="44">
          <cell r="B44" t="str">
            <v>S2</v>
          </cell>
        </row>
        <row r="45">
          <cell r="B45" t="str">
            <v>D1</v>
          </cell>
        </row>
        <row r="46">
          <cell r="B46" t="str">
            <v>D2</v>
          </cell>
        </row>
        <row r="47">
          <cell r="B47" t="str">
            <v>B1</v>
          </cell>
        </row>
        <row r="48">
          <cell r="B48" t="str">
            <v>B2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2">
          <cell r="B42" t="str">
            <v>S0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drotechnické výpočty I.E"/>
      <sheetName val="Hydrotechnické_výpočty_I_E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101_AS_SK_FIT-OUT"/>
      <sheetName val="510 SHZ"/>
      <sheetName val="520_ZTK"/>
      <sheetName val="530_ZTV"/>
      <sheetName val="550_CHL"/>
      <sheetName val="560_UT"/>
      <sheetName val="570_VZT"/>
      <sheetName val="620_ENN"/>
      <sheetName val="640_ESL"/>
      <sheetName val="687_MaR"/>
      <sheetName val="slouc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8"/>
  <sheetViews>
    <sheetView showGridLines="0" topLeftCell="A73" zoomScale="85" zoomScaleNormal="85" workbookViewId="0">
      <selection activeCell="K88" sqref="K88"/>
    </sheetView>
  </sheetViews>
  <sheetFormatPr defaultRowHeight="15.75" x14ac:dyDescent="0.25"/>
  <cols>
    <col min="1" max="1" width="13.5703125" style="179" customWidth="1"/>
    <col min="2" max="2" width="54.28515625" style="174" customWidth="1"/>
    <col min="3" max="3" width="21.7109375" style="174" bestFit="1" customWidth="1"/>
    <col min="4" max="4" width="17.42578125" style="175" customWidth="1"/>
    <col min="5" max="5" width="17.7109375" style="176" customWidth="1"/>
    <col min="6" max="241" width="9.140625" style="177"/>
    <col min="242" max="242" width="13.5703125" style="177" customWidth="1"/>
    <col min="243" max="243" width="54.28515625" style="177" customWidth="1"/>
    <col min="244" max="244" width="21.7109375" style="177" bestFit="1" customWidth="1"/>
    <col min="245" max="245" width="17.42578125" style="177" customWidth="1"/>
    <col min="246" max="246" width="17.7109375" style="177" customWidth="1"/>
    <col min="247" max="247" width="9.140625" style="177"/>
    <col min="248" max="248" width="17.42578125" style="177" bestFit="1" customWidth="1"/>
    <col min="249" max="249" width="17.7109375" style="177" customWidth="1"/>
    <col min="250" max="250" width="9.140625" style="177"/>
    <col min="251" max="251" width="20" style="177" customWidth="1"/>
    <col min="252" max="497" width="9.140625" style="177"/>
    <col min="498" max="498" width="13.5703125" style="177" customWidth="1"/>
    <col min="499" max="499" width="54.28515625" style="177" customWidth="1"/>
    <col min="500" max="500" width="21.7109375" style="177" bestFit="1" customWidth="1"/>
    <col min="501" max="501" width="17.42578125" style="177" customWidth="1"/>
    <col min="502" max="502" width="17.7109375" style="177" customWidth="1"/>
    <col min="503" max="503" width="9.140625" style="177"/>
    <col min="504" max="504" width="17.42578125" style="177" bestFit="1" customWidth="1"/>
    <col min="505" max="505" width="17.7109375" style="177" customWidth="1"/>
    <col min="506" max="506" width="9.140625" style="177"/>
    <col min="507" max="507" width="20" style="177" customWidth="1"/>
    <col min="508" max="753" width="9.140625" style="177"/>
    <col min="754" max="754" width="13.5703125" style="177" customWidth="1"/>
    <col min="755" max="755" width="54.28515625" style="177" customWidth="1"/>
    <col min="756" max="756" width="21.7109375" style="177" bestFit="1" customWidth="1"/>
    <col min="757" max="757" width="17.42578125" style="177" customWidth="1"/>
    <col min="758" max="758" width="17.7109375" style="177" customWidth="1"/>
    <col min="759" max="759" width="9.140625" style="177"/>
    <col min="760" max="760" width="17.42578125" style="177" bestFit="1" customWidth="1"/>
    <col min="761" max="761" width="17.7109375" style="177" customWidth="1"/>
    <col min="762" max="762" width="9.140625" style="177"/>
    <col min="763" max="763" width="20" style="177" customWidth="1"/>
    <col min="764" max="1009" width="9.140625" style="177"/>
    <col min="1010" max="1010" width="13.5703125" style="177" customWidth="1"/>
    <col min="1011" max="1011" width="54.28515625" style="177" customWidth="1"/>
    <col min="1012" max="1012" width="21.7109375" style="177" bestFit="1" customWidth="1"/>
    <col min="1013" max="1013" width="17.42578125" style="177" customWidth="1"/>
    <col min="1014" max="1014" width="17.7109375" style="177" customWidth="1"/>
    <col min="1015" max="1015" width="9.140625" style="177"/>
    <col min="1016" max="1016" width="17.42578125" style="177" bestFit="1" customWidth="1"/>
    <col min="1017" max="1017" width="17.7109375" style="177" customWidth="1"/>
    <col min="1018" max="1018" width="9.140625" style="177"/>
    <col min="1019" max="1019" width="20" style="177" customWidth="1"/>
    <col min="1020" max="1265" width="9.140625" style="177"/>
    <col min="1266" max="1266" width="13.5703125" style="177" customWidth="1"/>
    <col min="1267" max="1267" width="54.28515625" style="177" customWidth="1"/>
    <col min="1268" max="1268" width="21.7109375" style="177" bestFit="1" customWidth="1"/>
    <col min="1269" max="1269" width="17.42578125" style="177" customWidth="1"/>
    <col min="1270" max="1270" width="17.7109375" style="177" customWidth="1"/>
    <col min="1271" max="1271" width="9.140625" style="177"/>
    <col min="1272" max="1272" width="17.42578125" style="177" bestFit="1" customWidth="1"/>
    <col min="1273" max="1273" width="17.7109375" style="177" customWidth="1"/>
    <col min="1274" max="1274" width="9.140625" style="177"/>
    <col min="1275" max="1275" width="20" style="177" customWidth="1"/>
    <col min="1276" max="1521" width="9.140625" style="177"/>
    <col min="1522" max="1522" width="13.5703125" style="177" customWidth="1"/>
    <col min="1523" max="1523" width="54.28515625" style="177" customWidth="1"/>
    <col min="1524" max="1524" width="21.7109375" style="177" bestFit="1" customWidth="1"/>
    <col min="1525" max="1525" width="17.42578125" style="177" customWidth="1"/>
    <col min="1526" max="1526" width="17.7109375" style="177" customWidth="1"/>
    <col min="1527" max="1527" width="9.140625" style="177"/>
    <col min="1528" max="1528" width="17.42578125" style="177" bestFit="1" customWidth="1"/>
    <col min="1529" max="1529" width="17.7109375" style="177" customWidth="1"/>
    <col min="1530" max="1530" width="9.140625" style="177"/>
    <col min="1531" max="1531" width="20" style="177" customWidth="1"/>
    <col min="1532" max="1777" width="9.140625" style="177"/>
    <col min="1778" max="1778" width="13.5703125" style="177" customWidth="1"/>
    <col min="1779" max="1779" width="54.28515625" style="177" customWidth="1"/>
    <col min="1780" max="1780" width="21.7109375" style="177" bestFit="1" customWidth="1"/>
    <col min="1781" max="1781" width="17.42578125" style="177" customWidth="1"/>
    <col min="1782" max="1782" width="17.7109375" style="177" customWidth="1"/>
    <col min="1783" max="1783" width="9.140625" style="177"/>
    <col min="1784" max="1784" width="17.42578125" style="177" bestFit="1" customWidth="1"/>
    <col min="1785" max="1785" width="17.7109375" style="177" customWidth="1"/>
    <col min="1786" max="1786" width="9.140625" style="177"/>
    <col min="1787" max="1787" width="20" style="177" customWidth="1"/>
    <col min="1788" max="2033" width="9.140625" style="177"/>
    <col min="2034" max="2034" width="13.5703125" style="177" customWidth="1"/>
    <col min="2035" max="2035" width="54.28515625" style="177" customWidth="1"/>
    <col min="2036" max="2036" width="21.7109375" style="177" bestFit="1" customWidth="1"/>
    <col min="2037" max="2037" width="17.42578125" style="177" customWidth="1"/>
    <col min="2038" max="2038" width="17.7109375" style="177" customWidth="1"/>
    <col min="2039" max="2039" width="9.140625" style="177"/>
    <col min="2040" max="2040" width="17.42578125" style="177" bestFit="1" customWidth="1"/>
    <col min="2041" max="2041" width="17.7109375" style="177" customWidth="1"/>
    <col min="2042" max="2042" width="9.140625" style="177"/>
    <col min="2043" max="2043" width="20" style="177" customWidth="1"/>
    <col min="2044" max="2289" width="9.140625" style="177"/>
    <col min="2290" max="2290" width="13.5703125" style="177" customWidth="1"/>
    <col min="2291" max="2291" width="54.28515625" style="177" customWidth="1"/>
    <col min="2292" max="2292" width="21.7109375" style="177" bestFit="1" customWidth="1"/>
    <col min="2293" max="2293" width="17.42578125" style="177" customWidth="1"/>
    <col min="2294" max="2294" width="17.7109375" style="177" customWidth="1"/>
    <col min="2295" max="2295" width="9.140625" style="177"/>
    <col min="2296" max="2296" width="17.42578125" style="177" bestFit="1" customWidth="1"/>
    <col min="2297" max="2297" width="17.7109375" style="177" customWidth="1"/>
    <col min="2298" max="2298" width="9.140625" style="177"/>
    <col min="2299" max="2299" width="20" style="177" customWidth="1"/>
    <col min="2300" max="2545" width="9.140625" style="177"/>
    <col min="2546" max="2546" width="13.5703125" style="177" customWidth="1"/>
    <col min="2547" max="2547" width="54.28515625" style="177" customWidth="1"/>
    <col min="2548" max="2548" width="21.7109375" style="177" bestFit="1" customWidth="1"/>
    <col min="2549" max="2549" width="17.42578125" style="177" customWidth="1"/>
    <col min="2550" max="2550" width="17.7109375" style="177" customWidth="1"/>
    <col min="2551" max="2551" width="9.140625" style="177"/>
    <col min="2552" max="2552" width="17.42578125" style="177" bestFit="1" customWidth="1"/>
    <col min="2553" max="2553" width="17.7109375" style="177" customWidth="1"/>
    <col min="2554" max="2554" width="9.140625" style="177"/>
    <col min="2555" max="2555" width="20" style="177" customWidth="1"/>
    <col min="2556" max="2801" width="9.140625" style="177"/>
    <col min="2802" max="2802" width="13.5703125" style="177" customWidth="1"/>
    <col min="2803" max="2803" width="54.28515625" style="177" customWidth="1"/>
    <col min="2804" max="2804" width="21.7109375" style="177" bestFit="1" customWidth="1"/>
    <col min="2805" max="2805" width="17.42578125" style="177" customWidth="1"/>
    <col min="2806" max="2806" width="17.7109375" style="177" customWidth="1"/>
    <col min="2807" max="2807" width="9.140625" style="177"/>
    <col min="2808" max="2808" width="17.42578125" style="177" bestFit="1" customWidth="1"/>
    <col min="2809" max="2809" width="17.7109375" style="177" customWidth="1"/>
    <col min="2810" max="2810" width="9.140625" style="177"/>
    <col min="2811" max="2811" width="20" style="177" customWidth="1"/>
    <col min="2812" max="3057" width="9.140625" style="177"/>
    <col min="3058" max="3058" width="13.5703125" style="177" customWidth="1"/>
    <col min="3059" max="3059" width="54.28515625" style="177" customWidth="1"/>
    <col min="3060" max="3060" width="21.7109375" style="177" bestFit="1" customWidth="1"/>
    <col min="3061" max="3061" width="17.42578125" style="177" customWidth="1"/>
    <col min="3062" max="3062" width="17.7109375" style="177" customWidth="1"/>
    <col min="3063" max="3063" width="9.140625" style="177"/>
    <col min="3064" max="3064" width="17.42578125" style="177" bestFit="1" customWidth="1"/>
    <col min="3065" max="3065" width="17.7109375" style="177" customWidth="1"/>
    <col min="3066" max="3066" width="9.140625" style="177"/>
    <col min="3067" max="3067" width="20" style="177" customWidth="1"/>
    <col min="3068" max="3313" width="9.140625" style="177"/>
    <col min="3314" max="3314" width="13.5703125" style="177" customWidth="1"/>
    <col min="3315" max="3315" width="54.28515625" style="177" customWidth="1"/>
    <col min="3316" max="3316" width="21.7109375" style="177" bestFit="1" customWidth="1"/>
    <col min="3317" max="3317" width="17.42578125" style="177" customWidth="1"/>
    <col min="3318" max="3318" width="17.7109375" style="177" customWidth="1"/>
    <col min="3319" max="3319" width="9.140625" style="177"/>
    <col min="3320" max="3320" width="17.42578125" style="177" bestFit="1" customWidth="1"/>
    <col min="3321" max="3321" width="17.7109375" style="177" customWidth="1"/>
    <col min="3322" max="3322" width="9.140625" style="177"/>
    <col min="3323" max="3323" width="20" style="177" customWidth="1"/>
    <col min="3324" max="3569" width="9.140625" style="177"/>
    <col min="3570" max="3570" width="13.5703125" style="177" customWidth="1"/>
    <col min="3571" max="3571" width="54.28515625" style="177" customWidth="1"/>
    <col min="3572" max="3572" width="21.7109375" style="177" bestFit="1" customWidth="1"/>
    <col min="3573" max="3573" width="17.42578125" style="177" customWidth="1"/>
    <col min="3574" max="3574" width="17.7109375" style="177" customWidth="1"/>
    <col min="3575" max="3575" width="9.140625" style="177"/>
    <col min="3576" max="3576" width="17.42578125" style="177" bestFit="1" customWidth="1"/>
    <col min="3577" max="3577" width="17.7109375" style="177" customWidth="1"/>
    <col min="3578" max="3578" width="9.140625" style="177"/>
    <col min="3579" max="3579" width="20" style="177" customWidth="1"/>
    <col min="3580" max="3825" width="9.140625" style="177"/>
    <col min="3826" max="3826" width="13.5703125" style="177" customWidth="1"/>
    <col min="3827" max="3827" width="54.28515625" style="177" customWidth="1"/>
    <col min="3828" max="3828" width="21.7109375" style="177" bestFit="1" customWidth="1"/>
    <col min="3829" max="3829" width="17.42578125" style="177" customWidth="1"/>
    <col min="3830" max="3830" width="17.7109375" style="177" customWidth="1"/>
    <col min="3831" max="3831" width="9.140625" style="177"/>
    <col min="3832" max="3832" width="17.42578125" style="177" bestFit="1" customWidth="1"/>
    <col min="3833" max="3833" width="17.7109375" style="177" customWidth="1"/>
    <col min="3834" max="3834" width="9.140625" style="177"/>
    <col min="3835" max="3835" width="20" style="177" customWidth="1"/>
    <col min="3836" max="4081" width="9.140625" style="177"/>
    <col min="4082" max="4082" width="13.5703125" style="177" customWidth="1"/>
    <col min="4083" max="4083" width="54.28515625" style="177" customWidth="1"/>
    <col min="4084" max="4084" width="21.7109375" style="177" bestFit="1" customWidth="1"/>
    <col min="4085" max="4085" width="17.42578125" style="177" customWidth="1"/>
    <col min="4086" max="4086" width="17.7109375" style="177" customWidth="1"/>
    <col min="4087" max="4087" width="9.140625" style="177"/>
    <col min="4088" max="4088" width="17.42578125" style="177" bestFit="1" customWidth="1"/>
    <col min="4089" max="4089" width="17.7109375" style="177" customWidth="1"/>
    <col min="4090" max="4090" width="9.140625" style="177"/>
    <col min="4091" max="4091" width="20" style="177" customWidth="1"/>
    <col min="4092" max="4337" width="9.140625" style="177"/>
    <col min="4338" max="4338" width="13.5703125" style="177" customWidth="1"/>
    <col min="4339" max="4339" width="54.28515625" style="177" customWidth="1"/>
    <col min="4340" max="4340" width="21.7109375" style="177" bestFit="1" customWidth="1"/>
    <col min="4341" max="4341" width="17.42578125" style="177" customWidth="1"/>
    <col min="4342" max="4342" width="17.7109375" style="177" customWidth="1"/>
    <col min="4343" max="4343" width="9.140625" style="177"/>
    <col min="4344" max="4344" width="17.42578125" style="177" bestFit="1" customWidth="1"/>
    <col min="4345" max="4345" width="17.7109375" style="177" customWidth="1"/>
    <col min="4346" max="4346" width="9.140625" style="177"/>
    <col min="4347" max="4347" width="20" style="177" customWidth="1"/>
    <col min="4348" max="4593" width="9.140625" style="177"/>
    <col min="4594" max="4594" width="13.5703125" style="177" customWidth="1"/>
    <col min="4595" max="4595" width="54.28515625" style="177" customWidth="1"/>
    <col min="4596" max="4596" width="21.7109375" style="177" bestFit="1" customWidth="1"/>
    <col min="4597" max="4597" width="17.42578125" style="177" customWidth="1"/>
    <col min="4598" max="4598" width="17.7109375" style="177" customWidth="1"/>
    <col min="4599" max="4599" width="9.140625" style="177"/>
    <col min="4600" max="4600" width="17.42578125" style="177" bestFit="1" customWidth="1"/>
    <col min="4601" max="4601" width="17.7109375" style="177" customWidth="1"/>
    <col min="4602" max="4602" width="9.140625" style="177"/>
    <col min="4603" max="4603" width="20" style="177" customWidth="1"/>
    <col min="4604" max="4849" width="9.140625" style="177"/>
    <col min="4850" max="4850" width="13.5703125" style="177" customWidth="1"/>
    <col min="4851" max="4851" width="54.28515625" style="177" customWidth="1"/>
    <col min="4852" max="4852" width="21.7109375" style="177" bestFit="1" customWidth="1"/>
    <col min="4853" max="4853" width="17.42578125" style="177" customWidth="1"/>
    <col min="4854" max="4854" width="17.7109375" style="177" customWidth="1"/>
    <col min="4855" max="4855" width="9.140625" style="177"/>
    <col min="4856" max="4856" width="17.42578125" style="177" bestFit="1" customWidth="1"/>
    <col min="4857" max="4857" width="17.7109375" style="177" customWidth="1"/>
    <col min="4858" max="4858" width="9.140625" style="177"/>
    <col min="4859" max="4859" width="20" style="177" customWidth="1"/>
    <col min="4860" max="5105" width="9.140625" style="177"/>
    <col min="5106" max="5106" width="13.5703125" style="177" customWidth="1"/>
    <col min="5107" max="5107" width="54.28515625" style="177" customWidth="1"/>
    <col min="5108" max="5108" width="21.7109375" style="177" bestFit="1" customWidth="1"/>
    <col min="5109" max="5109" width="17.42578125" style="177" customWidth="1"/>
    <col min="5110" max="5110" width="17.7109375" style="177" customWidth="1"/>
    <col min="5111" max="5111" width="9.140625" style="177"/>
    <col min="5112" max="5112" width="17.42578125" style="177" bestFit="1" customWidth="1"/>
    <col min="5113" max="5113" width="17.7109375" style="177" customWidth="1"/>
    <col min="5114" max="5114" width="9.140625" style="177"/>
    <col min="5115" max="5115" width="20" style="177" customWidth="1"/>
    <col min="5116" max="5361" width="9.140625" style="177"/>
    <col min="5362" max="5362" width="13.5703125" style="177" customWidth="1"/>
    <col min="5363" max="5363" width="54.28515625" style="177" customWidth="1"/>
    <col min="5364" max="5364" width="21.7109375" style="177" bestFit="1" customWidth="1"/>
    <col min="5365" max="5365" width="17.42578125" style="177" customWidth="1"/>
    <col min="5366" max="5366" width="17.7109375" style="177" customWidth="1"/>
    <col min="5367" max="5367" width="9.140625" style="177"/>
    <col min="5368" max="5368" width="17.42578125" style="177" bestFit="1" customWidth="1"/>
    <col min="5369" max="5369" width="17.7109375" style="177" customWidth="1"/>
    <col min="5370" max="5370" width="9.140625" style="177"/>
    <col min="5371" max="5371" width="20" style="177" customWidth="1"/>
    <col min="5372" max="5617" width="9.140625" style="177"/>
    <col min="5618" max="5618" width="13.5703125" style="177" customWidth="1"/>
    <col min="5619" max="5619" width="54.28515625" style="177" customWidth="1"/>
    <col min="5620" max="5620" width="21.7109375" style="177" bestFit="1" customWidth="1"/>
    <col min="5621" max="5621" width="17.42578125" style="177" customWidth="1"/>
    <col min="5622" max="5622" width="17.7109375" style="177" customWidth="1"/>
    <col min="5623" max="5623" width="9.140625" style="177"/>
    <col min="5624" max="5624" width="17.42578125" style="177" bestFit="1" customWidth="1"/>
    <col min="5625" max="5625" width="17.7109375" style="177" customWidth="1"/>
    <col min="5626" max="5626" width="9.140625" style="177"/>
    <col min="5627" max="5627" width="20" style="177" customWidth="1"/>
    <col min="5628" max="5873" width="9.140625" style="177"/>
    <col min="5874" max="5874" width="13.5703125" style="177" customWidth="1"/>
    <col min="5875" max="5875" width="54.28515625" style="177" customWidth="1"/>
    <col min="5876" max="5876" width="21.7109375" style="177" bestFit="1" customWidth="1"/>
    <col min="5877" max="5877" width="17.42578125" style="177" customWidth="1"/>
    <col min="5878" max="5878" width="17.7109375" style="177" customWidth="1"/>
    <col min="5879" max="5879" width="9.140625" style="177"/>
    <col min="5880" max="5880" width="17.42578125" style="177" bestFit="1" customWidth="1"/>
    <col min="5881" max="5881" width="17.7109375" style="177" customWidth="1"/>
    <col min="5882" max="5882" width="9.140625" style="177"/>
    <col min="5883" max="5883" width="20" style="177" customWidth="1"/>
    <col min="5884" max="6129" width="9.140625" style="177"/>
    <col min="6130" max="6130" width="13.5703125" style="177" customWidth="1"/>
    <col min="6131" max="6131" width="54.28515625" style="177" customWidth="1"/>
    <col min="6132" max="6132" width="21.7109375" style="177" bestFit="1" customWidth="1"/>
    <col min="6133" max="6133" width="17.42578125" style="177" customWidth="1"/>
    <col min="6134" max="6134" width="17.7109375" style="177" customWidth="1"/>
    <col min="6135" max="6135" width="9.140625" style="177"/>
    <col min="6136" max="6136" width="17.42578125" style="177" bestFit="1" customWidth="1"/>
    <col min="6137" max="6137" width="17.7109375" style="177" customWidth="1"/>
    <col min="6138" max="6138" width="9.140625" style="177"/>
    <col min="6139" max="6139" width="20" style="177" customWidth="1"/>
    <col min="6140" max="6385" width="9.140625" style="177"/>
    <col min="6386" max="6386" width="13.5703125" style="177" customWidth="1"/>
    <col min="6387" max="6387" width="54.28515625" style="177" customWidth="1"/>
    <col min="6388" max="6388" width="21.7109375" style="177" bestFit="1" customWidth="1"/>
    <col min="6389" max="6389" width="17.42578125" style="177" customWidth="1"/>
    <col min="6390" max="6390" width="17.7109375" style="177" customWidth="1"/>
    <col min="6391" max="6391" width="9.140625" style="177"/>
    <col min="6392" max="6392" width="17.42578125" style="177" bestFit="1" customWidth="1"/>
    <col min="6393" max="6393" width="17.7109375" style="177" customWidth="1"/>
    <col min="6394" max="6394" width="9.140625" style="177"/>
    <col min="6395" max="6395" width="20" style="177" customWidth="1"/>
    <col min="6396" max="6641" width="9.140625" style="177"/>
    <col min="6642" max="6642" width="13.5703125" style="177" customWidth="1"/>
    <col min="6643" max="6643" width="54.28515625" style="177" customWidth="1"/>
    <col min="6644" max="6644" width="21.7109375" style="177" bestFit="1" customWidth="1"/>
    <col min="6645" max="6645" width="17.42578125" style="177" customWidth="1"/>
    <col min="6646" max="6646" width="17.7109375" style="177" customWidth="1"/>
    <col min="6647" max="6647" width="9.140625" style="177"/>
    <col min="6648" max="6648" width="17.42578125" style="177" bestFit="1" customWidth="1"/>
    <col min="6649" max="6649" width="17.7109375" style="177" customWidth="1"/>
    <col min="6650" max="6650" width="9.140625" style="177"/>
    <col min="6651" max="6651" width="20" style="177" customWidth="1"/>
    <col min="6652" max="6897" width="9.140625" style="177"/>
    <col min="6898" max="6898" width="13.5703125" style="177" customWidth="1"/>
    <col min="6899" max="6899" width="54.28515625" style="177" customWidth="1"/>
    <col min="6900" max="6900" width="21.7109375" style="177" bestFit="1" customWidth="1"/>
    <col min="6901" max="6901" width="17.42578125" style="177" customWidth="1"/>
    <col min="6902" max="6902" width="17.7109375" style="177" customWidth="1"/>
    <col min="6903" max="6903" width="9.140625" style="177"/>
    <col min="6904" max="6904" width="17.42578125" style="177" bestFit="1" customWidth="1"/>
    <col min="6905" max="6905" width="17.7109375" style="177" customWidth="1"/>
    <col min="6906" max="6906" width="9.140625" style="177"/>
    <col min="6907" max="6907" width="20" style="177" customWidth="1"/>
    <col min="6908" max="7153" width="9.140625" style="177"/>
    <col min="7154" max="7154" width="13.5703125" style="177" customWidth="1"/>
    <col min="7155" max="7155" width="54.28515625" style="177" customWidth="1"/>
    <col min="7156" max="7156" width="21.7109375" style="177" bestFit="1" customWidth="1"/>
    <col min="7157" max="7157" width="17.42578125" style="177" customWidth="1"/>
    <col min="7158" max="7158" width="17.7109375" style="177" customWidth="1"/>
    <col min="7159" max="7159" width="9.140625" style="177"/>
    <col min="7160" max="7160" width="17.42578125" style="177" bestFit="1" customWidth="1"/>
    <col min="7161" max="7161" width="17.7109375" style="177" customWidth="1"/>
    <col min="7162" max="7162" width="9.140625" style="177"/>
    <col min="7163" max="7163" width="20" style="177" customWidth="1"/>
    <col min="7164" max="7409" width="9.140625" style="177"/>
    <col min="7410" max="7410" width="13.5703125" style="177" customWidth="1"/>
    <col min="7411" max="7411" width="54.28515625" style="177" customWidth="1"/>
    <col min="7412" max="7412" width="21.7109375" style="177" bestFit="1" customWidth="1"/>
    <col min="7413" max="7413" width="17.42578125" style="177" customWidth="1"/>
    <col min="7414" max="7414" width="17.7109375" style="177" customWidth="1"/>
    <col min="7415" max="7415" width="9.140625" style="177"/>
    <col min="7416" max="7416" width="17.42578125" style="177" bestFit="1" customWidth="1"/>
    <col min="7417" max="7417" width="17.7109375" style="177" customWidth="1"/>
    <col min="7418" max="7418" width="9.140625" style="177"/>
    <col min="7419" max="7419" width="20" style="177" customWidth="1"/>
    <col min="7420" max="7665" width="9.140625" style="177"/>
    <col min="7666" max="7666" width="13.5703125" style="177" customWidth="1"/>
    <col min="7667" max="7667" width="54.28515625" style="177" customWidth="1"/>
    <col min="7668" max="7668" width="21.7109375" style="177" bestFit="1" customWidth="1"/>
    <col min="7669" max="7669" width="17.42578125" style="177" customWidth="1"/>
    <col min="7670" max="7670" width="17.7109375" style="177" customWidth="1"/>
    <col min="7671" max="7671" width="9.140625" style="177"/>
    <col min="7672" max="7672" width="17.42578125" style="177" bestFit="1" customWidth="1"/>
    <col min="7673" max="7673" width="17.7109375" style="177" customWidth="1"/>
    <col min="7674" max="7674" width="9.140625" style="177"/>
    <col min="7675" max="7675" width="20" style="177" customWidth="1"/>
    <col min="7676" max="7921" width="9.140625" style="177"/>
    <col min="7922" max="7922" width="13.5703125" style="177" customWidth="1"/>
    <col min="7923" max="7923" width="54.28515625" style="177" customWidth="1"/>
    <col min="7924" max="7924" width="21.7109375" style="177" bestFit="1" customWidth="1"/>
    <col min="7925" max="7925" width="17.42578125" style="177" customWidth="1"/>
    <col min="7926" max="7926" width="17.7109375" style="177" customWidth="1"/>
    <col min="7927" max="7927" width="9.140625" style="177"/>
    <col min="7928" max="7928" width="17.42578125" style="177" bestFit="1" customWidth="1"/>
    <col min="7929" max="7929" width="17.7109375" style="177" customWidth="1"/>
    <col min="7930" max="7930" width="9.140625" style="177"/>
    <col min="7931" max="7931" width="20" style="177" customWidth="1"/>
    <col min="7932" max="8177" width="9.140625" style="177"/>
    <col min="8178" max="8178" width="13.5703125" style="177" customWidth="1"/>
    <col min="8179" max="8179" width="54.28515625" style="177" customWidth="1"/>
    <col min="8180" max="8180" width="21.7109375" style="177" bestFit="1" customWidth="1"/>
    <col min="8181" max="8181" width="17.42578125" style="177" customWidth="1"/>
    <col min="8182" max="8182" width="17.7109375" style="177" customWidth="1"/>
    <col min="8183" max="8183" width="9.140625" style="177"/>
    <col min="8184" max="8184" width="17.42578125" style="177" bestFit="1" customWidth="1"/>
    <col min="8185" max="8185" width="17.7109375" style="177" customWidth="1"/>
    <col min="8186" max="8186" width="9.140625" style="177"/>
    <col min="8187" max="8187" width="20" style="177" customWidth="1"/>
    <col min="8188" max="8433" width="9.140625" style="177"/>
    <col min="8434" max="8434" width="13.5703125" style="177" customWidth="1"/>
    <col min="8435" max="8435" width="54.28515625" style="177" customWidth="1"/>
    <col min="8436" max="8436" width="21.7109375" style="177" bestFit="1" customWidth="1"/>
    <col min="8437" max="8437" width="17.42578125" style="177" customWidth="1"/>
    <col min="8438" max="8438" width="17.7109375" style="177" customWidth="1"/>
    <col min="8439" max="8439" width="9.140625" style="177"/>
    <col min="8440" max="8440" width="17.42578125" style="177" bestFit="1" customWidth="1"/>
    <col min="8441" max="8441" width="17.7109375" style="177" customWidth="1"/>
    <col min="8442" max="8442" width="9.140625" style="177"/>
    <col min="8443" max="8443" width="20" style="177" customWidth="1"/>
    <col min="8444" max="8689" width="9.140625" style="177"/>
    <col min="8690" max="8690" width="13.5703125" style="177" customWidth="1"/>
    <col min="8691" max="8691" width="54.28515625" style="177" customWidth="1"/>
    <col min="8692" max="8692" width="21.7109375" style="177" bestFit="1" customWidth="1"/>
    <col min="8693" max="8693" width="17.42578125" style="177" customWidth="1"/>
    <col min="8694" max="8694" width="17.7109375" style="177" customWidth="1"/>
    <col min="8695" max="8695" width="9.140625" style="177"/>
    <col min="8696" max="8696" width="17.42578125" style="177" bestFit="1" customWidth="1"/>
    <col min="8697" max="8697" width="17.7109375" style="177" customWidth="1"/>
    <col min="8698" max="8698" width="9.140625" style="177"/>
    <col min="8699" max="8699" width="20" style="177" customWidth="1"/>
    <col min="8700" max="8945" width="9.140625" style="177"/>
    <col min="8946" max="8946" width="13.5703125" style="177" customWidth="1"/>
    <col min="8947" max="8947" width="54.28515625" style="177" customWidth="1"/>
    <col min="8948" max="8948" width="21.7109375" style="177" bestFit="1" customWidth="1"/>
    <col min="8949" max="8949" width="17.42578125" style="177" customWidth="1"/>
    <col min="8950" max="8950" width="17.7109375" style="177" customWidth="1"/>
    <col min="8951" max="8951" width="9.140625" style="177"/>
    <col min="8952" max="8952" width="17.42578125" style="177" bestFit="1" customWidth="1"/>
    <col min="8953" max="8953" width="17.7109375" style="177" customWidth="1"/>
    <col min="8954" max="8954" width="9.140625" style="177"/>
    <col min="8955" max="8955" width="20" style="177" customWidth="1"/>
    <col min="8956" max="9201" width="9.140625" style="177"/>
    <col min="9202" max="9202" width="13.5703125" style="177" customWidth="1"/>
    <col min="9203" max="9203" width="54.28515625" style="177" customWidth="1"/>
    <col min="9204" max="9204" width="21.7109375" style="177" bestFit="1" customWidth="1"/>
    <col min="9205" max="9205" width="17.42578125" style="177" customWidth="1"/>
    <col min="9206" max="9206" width="17.7109375" style="177" customWidth="1"/>
    <col min="9207" max="9207" width="9.140625" style="177"/>
    <col min="9208" max="9208" width="17.42578125" style="177" bestFit="1" customWidth="1"/>
    <col min="9209" max="9209" width="17.7109375" style="177" customWidth="1"/>
    <col min="9210" max="9210" width="9.140625" style="177"/>
    <col min="9211" max="9211" width="20" style="177" customWidth="1"/>
    <col min="9212" max="9457" width="9.140625" style="177"/>
    <col min="9458" max="9458" width="13.5703125" style="177" customWidth="1"/>
    <col min="9459" max="9459" width="54.28515625" style="177" customWidth="1"/>
    <col min="9460" max="9460" width="21.7109375" style="177" bestFit="1" customWidth="1"/>
    <col min="9461" max="9461" width="17.42578125" style="177" customWidth="1"/>
    <col min="9462" max="9462" width="17.7109375" style="177" customWidth="1"/>
    <col min="9463" max="9463" width="9.140625" style="177"/>
    <col min="9464" max="9464" width="17.42578125" style="177" bestFit="1" customWidth="1"/>
    <col min="9465" max="9465" width="17.7109375" style="177" customWidth="1"/>
    <col min="9466" max="9466" width="9.140625" style="177"/>
    <col min="9467" max="9467" width="20" style="177" customWidth="1"/>
    <col min="9468" max="9713" width="9.140625" style="177"/>
    <col min="9714" max="9714" width="13.5703125" style="177" customWidth="1"/>
    <col min="9715" max="9715" width="54.28515625" style="177" customWidth="1"/>
    <col min="9716" max="9716" width="21.7109375" style="177" bestFit="1" customWidth="1"/>
    <col min="9717" max="9717" width="17.42578125" style="177" customWidth="1"/>
    <col min="9718" max="9718" width="17.7109375" style="177" customWidth="1"/>
    <col min="9719" max="9719" width="9.140625" style="177"/>
    <col min="9720" max="9720" width="17.42578125" style="177" bestFit="1" customWidth="1"/>
    <col min="9721" max="9721" width="17.7109375" style="177" customWidth="1"/>
    <col min="9722" max="9722" width="9.140625" style="177"/>
    <col min="9723" max="9723" width="20" style="177" customWidth="1"/>
    <col min="9724" max="9969" width="9.140625" style="177"/>
    <col min="9970" max="9970" width="13.5703125" style="177" customWidth="1"/>
    <col min="9971" max="9971" width="54.28515625" style="177" customWidth="1"/>
    <col min="9972" max="9972" width="21.7109375" style="177" bestFit="1" customWidth="1"/>
    <col min="9973" max="9973" width="17.42578125" style="177" customWidth="1"/>
    <col min="9974" max="9974" width="17.7109375" style="177" customWidth="1"/>
    <col min="9975" max="9975" width="9.140625" style="177"/>
    <col min="9976" max="9976" width="17.42578125" style="177" bestFit="1" customWidth="1"/>
    <col min="9977" max="9977" width="17.7109375" style="177" customWidth="1"/>
    <col min="9978" max="9978" width="9.140625" style="177"/>
    <col min="9979" max="9979" width="20" style="177" customWidth="1"/>
    <col min="9980" max="10225" width="9.140625" style="177"/>
    <col min="10226" max="10226" width="13.5703125" style="177" customWidth="1"/>
    <col min="10227" max="10227" width="54.28515625" style="177" customWidth="1"/>
    <col min="10228" max="10228" width="21.7109375" style="177" bestFit="1" customWidth="1"/>
    <col min="10229" max="10229" width="17.42578125" style="177" customWidth="1"/>
    <col min="10230" max="10230" width="17.7109375" style="177" customWidth="1"/>
    <col min="10231" max="10231" width="9.140625" style="177"/>
    <col min="10232" max="10232" width="17.42578125" style="177" bestFit="1" customWidth="1"/>
    <col min="10233" max="10233" width="17.7109375" style="177" customWidth="1"/>
    <col min="10234" max="10234" width="9.140625" style="177"/>
    <col min="10235" max="10235" width="20" style="177" customWidth="1"/>
    <col min="10236" max="10481" width="9.140625" style="177"/>
    <col min="10482" max="10482" width="13.5703125" style="177" customWidth="1"/>
    <col min="10483" max="10483" width="54.28515625" style="177" customWidth="1"/>
    <col min="10484" max="10484" width="21.7109375" style="177" bestFit="1" customWidth="1"/>
    <col min="10485" max="10485" width="17.42578125" style="177" customWidth="1"/>
    <col min="10486" max="10486" width="17.7109375" style="177" customWidth="1"/>
    <col min="10487" max="10487" width="9.140625" style="177"/>
    <col min="10488" max="10488" width="17.42578125" style="177" bestFit="1" customWidth="1"/>
    <col min="10489" max="10489" width="17.7109375" style="177" customWidth="1"/>
    <col min="10490" max="10490" width="9.140625" style="177"/>
    <col min="10491" max="10491" width="20" style="177" customWidth="1"/>
    <col min="10492" max="10737" width="9.140625" style="177"/>
    <col min="10738" max="10738" width="13.5703125" style="177" customWidth="1"/>
    <col min="10739" max="10739" width="54.28515625" style="177" customWidth="1"/>
    <col min="10740" max="10740" width="21.7109375" style="177" bestFit="1" customWidth="1"/>
    <col min="10741" max="10741" width="17.42578125" style="177" customWidth="1"/>
    <col min="10742" max="10742" width="17.7109375" style="177" customWidth="1"/>
    <col min="10743" max="10743" width="9.140625" style="177"/>
    <col min="10744" max="10744" width="17.42578125" style="177" bestFit="1" customWidth="1"/>
    <col min="10745" max="10745" width="17.7109375" style="177" customWidth="1"/>
    <col min="10746" max="10746" width="9.140625" style="177"/>
    <col min="10747" max="10747" width="20" style="177" customWidth="1"/>
    <col min="10748" max="10993" width="9.140625" style="177"/>
    <col min="10994" max="10994" width="13.5703125" style="177" customWidth="1"/>
    <col min="10995" max="10995" width="54.28515625" style="177" customWidth="1"/>
    <col min="10996" max="10996" width="21.7109375" style="177" bestFit="1" customWidth="1"/>
    <col min="10997" max="10997" width="17.42578125" style="177" customWidth="1"/>
    <col min="10998" max="10998" width="17.7109375" style="177" customWidth="1"/>
    <col min="10999" max="10999" width="9.140625" style="177"/>
    <col min="11000" max="11000" width="17.42578125" style="177" bestFit="1" customWidth="1"/>
    <col min="11001" max="11001" width="17.7109375" style="177" customWidth="1"/>
    <col min="11002" max="11002" width="9.140625" style="177"/>
    <col min="11003" max="11003" width="20" style="177" customWidth="1"/>
    <col min="11004" max="11249" width="9.140625" style="177"/>
    <col min="11250" max="11250" width="13.5703125" style="177" customWidth="1"/>
    <col min="11251" max="11251" width="54.28515625" style="177" customWidth="1"/>
    <col min="11252" max="11252" width="21.7109375" style="177" bestFit="1" customWidth="1"/>
    <col min="11253" max="11253" width="17.42578125" style="177" customWidth="1"/>
    <col min="11254" max="11254" width="17.7109375" style="177" customWidth="1"/>
    <col min="11255" max="11255" width="9.140625" style="177"/>
    <col min="11256" max="11256" width="17.42578125" style="177" bestFit="1" customWidth="1"/>
    <col min="11257" max="11257" width="17.7109375" style="177" customWidth="1"/>
    <col min="11258" max="11258" width="9.140625" style="177"/>
    <col min="11259" max="11259" width="20" style="177" customWidth="1"/>
    <col min="11260" max="11505" width="9.140625" style="177"/>
    <col min="11506" max="11506" width="13.5703125" style="177" customWidth="1"/>
    <col min="11507" max="11507" width="54.28515625" style="177" customWidth="1"/>
    <col min="11508" max="11508" width="21.7109375" style="177" bestFit="1" customWidth="1"/>
    <col min="11509" max="11509" width="17.42578125" style="177" customWidth="1"/>
    <col min="11510" max="11510" width="17.7109375" style="177" customWidth="1"/>
    <col min="11511" max="11511" width="9.140625" style="177"/>
    <col min="11512" max="11512" width="17.42578125" style="177" bestFit="1" customWidth="1"/>
    <col min="11513" max="11513" width="17.7109375" style="177" customWidth="1"/>
    <col min="11514" max="11514" width="9.140625" style="177"/>
    <col min="11515" max="11515" width="20" style="177" customWidth="1"/>
    <col min="11516" max="11761" width="9.140625" style="177"/>
    <col min="11762" max="11762" width="13.5703125" style="177" customWidth="1"/>
    <col min="11763" max="11763" width="54.28515625" style="177" customWidth="1"/>
    <col min="11764" max="11764" width="21.7109375" style="177" bestFit="1" customWidth="1"/>
    <col min="11765" max="11765" width="17.42578125" style="177" customWidth="1"/>
    <col min="11766" max="11766" width="17.7109375" style="177" customWidth="1"/>
    <col min="11767" max="11767" width="9.140625" style="177"/>
    <col min="11768" max="11768" width="17.42578125" style="177" bestFit="1" customWidth="1"/>
    <col min="11769" max="11769" width="17.7109375" style="177" customWidth="1"/>
    <col min="11770" max="11770" width="9.140625" style="177"/>
    <col min="11771" max="11771" width="20" style="177" customWidth="1"/>
    <col min="11772" max="12017" width="9.140625" style="177"/>
    <col min="12018" max="12018" width="13.5703125" style="177" customWidth="1"/>
    <col min="12019" max="12019" width="54.28515625" style="177" customWidth="1"/>
    <col min="12020" max="12020" width="21.7109375" style="177" bestFit="1" customWidth="1"/>
    <col min="12021" max="12021" width="17.42578125" style="177" customWidth="1"/>
    <col min="12022" max="12022" width="17.7109375" style="177" customWidth="1"/>
    <col min="12023" max="12023" width="9.140625" style="177"/>
    <col min="12024" max="12024" width="17.42578125" style="177" bestFit="1" customWidth="1"/>
    <col min="12025" max="12025" width="17.7109375" style="177" customWidth="1"/>
    <col min="12026" max="12026" width="9.140625" style="177"/>
    <col min="12027" max="12027" width="20" style="177" customWidth="1"/>
    <col min="12028" max="12273" width="9.140625" style="177"/>
    <col min="12274" max="12274" width="13.5703125" style="177" customWidth="1"/>
    <col min="12275" max="12275" width="54.28515625" style="177" customWidth="1"/>
    <col min="12276" max="12276" width="21.7109375" style="177" bestFit="1" customWidth="1"/>
    <col min="12277" max="12277" width="17.42578125" style="177" customWidth="1"/>
    <col min="12278" max="12278" width="17.7109375" style="177" customWidth="1"/>
    <col min="12279" max="12279" width="9.140625" style="177"/>
    <col min="12280" max="12280" width="17.42578125" style="177" bestFit="1" customWidth="1"/>
    <col min="12281" max="12281" width="17.7109375" style="177" customWidth="1"/>
    <col min="12282" max="12282" width="9.140625" style="177"/>
    <col min="12283" max="12283" width="20" style="177" customWidth="1"/>
    <col min="12284" max="12529" width="9.140625" style="177"/>
    <col min="12530" max="12530" width="13.5703125" style="177" customWidth="1"/>
    <col min="12531" max="12531" width="54.28515625" style="177" customWidth="1"/>
    <col min="12532" max="12532" width="21.7109375" style="177" bestFit="1" customWidth="1"/>
    <col min="12533" max="12533" width="17.42578125" style="177" customWidth="1"/>
    <col min="12534" max="12534" width="17.7109375" style="177" customWidth="1"/>
    <col min="12535" max="12535" width="9.140625" style="177"/>
    <col min="12536" max="12536" width="17.42578125" style="177" bestFit="1" customWidth="1"/>
    <col min="12537" max="12537" width="17.7109375" style="177" customWidth="1"/>
    <col min="12538" max="12538" width="9.140625" style="177"/>
    <col min="12539" max="12539" width="20" style="177" customWidth="1"/>
    <col min="12540" max="12785" width="9.140625" style="177"/>
    <col min="12786" max="12786" width="13.5703125" style="177" customWidth="1"/>
    <col min="12787" max="12787" width="54.28515625" style="177" customWidth="1"/>
    <col min="12788" max="12788" width="21.7109375" style="177" bestFit="1" customWidth="1"/>
    <col min="12789" max="12789" width="17.42578125" style="177" customWidth="1"/>
    <col min="12790" max="12790" width="17.7109375" style="177" customWidth="1"/>
    <col min="12791" max="12791" width="9.140625" style="177"/>
    <col min="12792" max="12792" width="17.42578125" style="177" bestFit="1" customWidth="1"/>
    <col min="12793" max="12793" width="17.7109375" style="177" customWidth="1"/>
    <col min="12794" max="12794" width="9.140625" style="177"/>
    <col min="12795" max="12795" width="20" style="177" customWidth="1"/>
    <col min="12796" max="13041" width="9.140625" style="177"/>
    <col min="13042" max="13042" width="13.5703125" style="177" customWidth="1"/>
    <col min="13043" max="13043" width="54.28515625" style="177" customWidth="1"/>
    <col min="13044" max="13044" width="21.7109375" style="177" bestFit="1" customWidth="1"/>
    <col min="13045" max="13045" width="17.42578125" style="177" customWidth="1"/>
    <col min="13046" max="13046" width="17.7109375" style="177" customWidth="1"/>
    <col min="13047" max="13047" width="9.140625" style="177"/>
    <col min="13048" max="13048" width="17.42578125" style="177" bestFit="1" customWidth="1"/>
    <col min="13049" max="13049" width="17.7109375" style="177" customWidth="1"/>
    <col min="13050" max="13050" width="9.140625" style="177"/>
    <col min="13051" max="13051" width="20" style="177" customWidth="1"/>
    <col min="13052" max="13297" width="9.140625" style="177"/>
    <col min="13298" max="13298" width="13.5703125" style="177" customWidth="1"/>
    <col min="13299" max="13299" width="54.28515625" style="177" customWidth="1"/>
    <col min="13300" max="13300" width="21.7109375" style="177" bestFit="1" customWidth="1"/>
    <col min="13301" max="13301" width="17.42578125" style="177" customWidth="1"/>
    <col min="13302" max="13302" width="17.7109375" style="177" customWidth="1"/>
    <col min="13303" max="13303" width="9.140625" style="177"/>
    <col min="13304" max="13304" width="17.42578125" style="177" bestFit="1" customWidth="1"/>
    <col min="13305" max="13305" width="17.7109375" style="177" customWidth="1"/>
    <col min="13306" max="13306" width="9.140625" style="177"/>
    <col min="13307" max="13307" width="20" style="177" customWidth="1"/>
    <col min="13308" max="13553" width="9.140625" style="177"/>
    <col min="13554" max="13554" width="13.5703125" style="177" customWidth="1"/>
    <col min="13555" max="13555" width="54.28515625" style="177" customWidth="1"/>
    <col min="13556" max="13556" width="21.7109375" style="177" bestFit="1" customWidth="1"/>
    <col min="13557" max="13557" width="17.42578125" style="177" customWidth="1"/>
    <col min="13558" max="13558" width="17.7109375" style="177" customWidth="1"/>
    <col min="13559" max="13559" width="9.140625" style="177"/>
    <col min="13560" max="13560" width="17.42578125" style="177" bestFit="1" customWidth="1"/>
    <col min="13561" max="13561" width="17.7109375" style="177" customWidth="1"/>
    <col min="13562" max="13562" width="9.140625" style="177"/>
    <col min="13563" max="13563" width="20" style="177" customWidth="1"/>
    <col min="13564" max="13809" width="9.140625" style="177"/>
    <col min="13810" max="13810" width="13.5703125" style="177" customWidth="1"/>
    <col min="13811" max="13811" width="54.28515625" style="177" customWidth="1"/>
    <col min="13812" max="13812" width="21.7109375" style="177" bestFit="1" customWidth="1"/>
    <col min="13813" max="13813" width="17.42578125" style="177" customWidth="1"/>
    <col min="13814" max="13814" width="17.7109375" style="177" customWidth="1"/>
    <col min="13815" max="13815" width="9.140625" style="177"/>
    <col min="13816" max="13816" width="17.42578125" style="177" bestFit="1" customWidth="1"/>
    <col min="13817" max="13817" width="17.7109375" style="177" customWidth="1"/>
    <col min="13818" max="13818" width="9.140625" style="177"/>
    <col min="13819" max="13819" width="20" style="177" customWidth="1"/>
    <col min="13820" max="14065" width="9.140625" style="177"/>
    <col min="14066" max="14066" width="13.5703125" style="177" customWidth="1"/>
    <col min="14067" max="14067" width="54.28515625" style="177" customWidth="1"/>
    <col min="14068" max="14068" width="21.7109375" style="177" bestFit="1" customWidth="1"/>
    <col min="14069" max="14069" width="17.42578125" style="177" customWidth="1"/>
    <col min="14070" max="14070" width="17.7109375" style="177" customWidth="1"/>
    <col min="14071" max="14071" width="9.140625" style="177"/>
    <col min="14072" max="14072" width="17.42578125" style="177" bestFit="1" customWidth="1"/>
    <col min="14073" max="14073" width="17.7109375" style="177" customWidth="1"/>
    <col min="14074" max="14074" width="9.140625" style="177"/>
    <col min="14075" max="14075" width="20" style="177" customWidth="1"/>
    <col min="14076" max="14321" width="9.140625" style="177"/>
    <col min="14322" max="14322" width="13.5703125" style="177" customWidth="1"/>
    <col min="14323" max="14323" width="54.28515625" style="177" customWidth="1"/>
    <col min="14324" max="14324" width="21.7109375" style="177" bestFit="1" customWidth="1"/>
    <col min="14325" max="14325" width="17.42578125" style="177" customWidth="1"/>
    <col min="14326" max="14326" width="17.7109375" style="177" customWidth="1"/>
    <col min="14327" max="14327" width="9.140625" style="177"/>
    <col min="14328" max="14328" width="17.42578125" style="177" bestFit="1" customWidth="1"/>
    <col min="14329" max="14329" width="17.7109375" style="177" customWidth="1"/>
    <col min="14330" max="14330" width="9.140625" style="177"/>
    <col min="14331" max="14331" width="20" style="177" customWidth="1"/>
    <col min="14332" max="14577" width="9.140625" style="177"/>
    <col min="14578" max="14578" width="13.5703125" style="177" customWidth="1"/>
    <col min="14579" max="14579" width="54.28515625" style="177" customWidth="1"/>
    <col min="14580" max="14580" width="21.7109375" style="177" bestFit="1" customWidth="1"/>
    <col min="14581" max="14581" width="17.42578125" style="177" customWidth="1"/>
    <col min="14582" max="14582" width="17.7109375" style="177" customWidth="1"/>
    <col min="14583" max="14583" width="9.140625" style="177"/>
    <col min="14584" max="14584" width="17.42578125" style="177" bestFit="1" customWidth="1"/>
    <col min="14585" max="14585" width="17.7109375" style="177" customWidth="1"/>
    <col min="14586" max="14586" width="9.140625" style="177"/>
    <col min="14587" max="14587" width="20" style="177" customWidth="1"/>
    <col min="14588" max="14833" width="9.140625" style="177"/>
    <col min="14834" max="14834" width="13.5703125" style="177" customWidth="1"/>
    <col min="14835" max="14835" width="54.28515625" style="177" customWidth="1"/>
    <col min="14836" max="14836" width="21.7109375" style="177" bestFit="1" customWidth="1"/>
    <col min="14837" max="14837" width="17.42578125" style="177" customWidth="1"/>
    <col min="14838" max="14838" width="17.7109375" style="177" customWidth="1"/>
    <col min="14839" max="14839" width="9.140625" style="177"/>
    <col min="14840" max="14840" width="17.42578125" style="177" bestFit="1" customWidth="1"/>
    <col min="14841" max="14841" width="17.7109375" style="177" customWidth="1"/>
    <col min="14842" max="14842" width="9.140625" style="177"/>
    <col min="14843" max="14843" width="20" style="177" customWidth="1"/>
    <col min="14844" max="15089" width="9.140625" style="177"/>
    <col min="15090" max="15090" width="13.5703125" style="177" customWidth="1"/>
    <col min="15091" max="15091" width="54.28515625" style="177" customWidth="1"/>
    <col min="15092" max="15092" width="21.7109375" style="177" bestFit="1" customWidth="1"/>
    <col min="15093" max="15093" width="17.42578125" style="177" customWidth="1"/>
    <col min="15094" max="15094" width="17.7109375" style="177" customWidth="1"/>
    <col min="15095" max="15095" width="9.140625" style="177"/>
    <col min="15096" max="15096" width="17.42578125" style="177" bestFit="1" customWidth="1"/>
    <col min="15097" max="15097" width="17.7109375" style="177" customWidth="1"/>
    <col min="15098" max="15098" width="9.140625" style="177"/>
    <col min="15099" max="15099" width="20" style="177" customWidth="1"/>
    <col min="15100" max="15345" width="9.140625" style="177"/>
    <col min="15346" max="15346" width="13.5703125" style="177" customWidth="1"/>
    <col min="15347" max="15347" width="54.28515625" style="177" customWidth="1"/>
    <col min="15348" max="15348" width="21.7109375" style="177" bestFit="1" customWidth="1"/>
    <col min="15349" max="15349" width="17.42578125" style="177" customWidth="1"/>
    <col min="15350" max="15350" width="17.7109375" style="177" customWidth="1"/>
    <col min="15351" max="15351" width="9.140625" style="177"/>
    <col min="15352" max="15352" width="17.42578125" style="177" bestFit="1" customWidth="1"/>
    <col min="15353" max="15353" width="17.7109375" style="177" customWidth="1"/>
    <col min="15354" max="15354" width="9.140625" style="177"/>
    <col min="15355" max="15355" width="20" style="177" customWidth="1"/>
    <col min="15356" max="15601" width="9.140625" style="177"/>
    <col min="15602" max="15602" width="13.5703125" style="177" customWidth="1"/>
    <col min="15603" max="15603" width="54.28515625" style="177" customWidth="1"/>
    <col min="15604" max="15604" width="21.7109375" style="177" bestFit="1" customWidth="1"/>
    <col min="15605" max="15605" width="17.42578125" style="177" customWidth="1"/>
    <col min="15606" max="15606" width="17.7109375" style="177" customWidth="1"/>
    <col min="15607" max="15607" width="9.140625" style="177"/>
    <col min="15608" max="15608" width="17.42578125" style="177" bestFit="1" customWidth="1"/>
    <col min="15609" max="15609" width="17.7109375" style="177" customWidth="1"/>
    <col min="15610" max="15610" width="9.140625" style="177"/>
    <col min="15611" max="15611" width="20" style="177" customWidth="1"/>
    <col min="15612" max="15857" width="9.140625" style="177"/>
    <col min="15858" max="15858" width="13.5703125" style="177" customWidth="1"/>
    <col min="15859" max="15859" width="54.28515625" style="177" customWidth="1"/>
    <col min="15860" max="15860" width="21.7109375" style="177" bestFit="1" customWidth="1"/>
    <col min="15861" max="15861" width="17.42578125" style="177" customWidth="1"/>
    <col min="15862" max="15862" width="17.7109375" style="177" customWidth="1"/>
    <col min="15863" max="15863" width="9.140625" style="177"/>
    <col min="15864" max="15864" width="17.42578125" style="177" bestFit="1" customWidth="1"/>
    <col min="15865" max="15865" width="17.7109375" style="177" customWidth="1"/>
    <col min="15866" max="15866" width="9.140625" style="177"/>
    <col min="15867" max="15867" width="20" style="177" customWidth="1"/>
    <col min="15868" max="16113" width="9.140625" style="177"/>
    <col min="16114" max="16114" width="13.5703125" style="177" customWidth="1"/>
    <col min="16115" max="16115" width="54.28515625" style="177" customWidth="1"/>
    <col min="16116" max="16116" width="21.7109375" style="177" bestFit="1" customWidth="1"/>
    <col min="16117" max="16117" width="17.42578125" style="177" customWidth="1"/>
    <col min="16118" max="16118" width="17.7109375" style="177" customWidth="1"/>
    <col min="16119" max="16119" width="9.140625" style="177"/>
    <col min="16120" max="16120" width="17.42578125" style="177" bestFit="1" customWidth="1"/>
    <col min="16121" max="16121" width="17.7109375" style="177" customWidth="1"/>
    <col min="16122" max="16122" width="9.140625" style="177"/>
    <col min="16123" max="16123" width="20" style="177" customWidth="1"/>
    <col min="16124" max="16384" width="9.140625" style="177"/>
  </cols>
  <sheetData>
    <row r="1" spans="1:4" x14ac:dyDescent="0.25">
      <c r="A1" s="173" t="s">
        <v>756</v>
      </c>
    </row>
    <row r="2" spans="1:4" x14ac:dyDescent="0.25">
      <c r="A2" s="178" t="s">
        <v>757</v>
      </c>
    </row>
    <row r="3" spans="1:4" x14ac:dyDescent="0.25">
      <c r="A3" s="173"/>
    </row>
    <row r="4" spans="1:4" x14ac:dyDescent="0.25">
      <c r="A4" s="173"/>
    </row>
    <row r="7" spans="1:4" x14ac:dyDescent="0.25">
      <c r="A7" s="173" t="s">
        <v>758</v>
      </c>
    </row>
    <row r="9" spans="1:4" x14ac:dyDescent="0.25">
      <c r="B9" s="174" t="s">
        <v>759</v>
      </c>
      <c r="D9" s="181">
        <v>28</v>
      </c>
    </row>
    <row r="10" spans="1:4" x14ac:dyDescent="0.25">
      <c r="B10" s="174" t="s">
        <v>760</v>
      </c>
    </row>
    <row r="11" spans="1:4" s="176" customFormat="1" x14ac:dyDescent="0.25">
      <c r="A11" s="179"/>
      <c r="B11" s="174" t="s">
        <v>812</v>
      </c>
      <c r="C11" s="181" t="s">
        <v>761</v>
      </c>
      <c r="D11" s="298">
        <v>327</v>
      </c>
    </row>
    <row r="12" spans="1:4" x14ac:dyDescent="0.25">
      <c r="B12" s="174" t="s">
        <v>762</v>
      </c>
      <c r="D12" s="299"/>
    </row>
    <row r="13" spans="1:4" x14ac:dyDescent="0.25">
      <c r="B13" s="174" t="s">
        <v>763</v>
      </c>
      <c r="D13" s="181"/>
    </row>
    <row r="14" spans="1:4" x14ac:dyDescent="0.25">
      <c r="B14" s="174" t="s">
        <v>764</v>
      </c>
      <c r="C14" s="181"/>
      <c r="D14" s="298"/>
    </row>
    <row r="15" spans="1:4" x14ac:dyDescent="0.25">
      <c r="B15" s="174" t="s">
        <v>765</v>
      </c>
      <c r="C15" s="174" t="s">
        <v>766</v>
      </c>
      <c r="D15" s="181"/>
    </row>
    <row r="16" spans="1:4" x14ac:dyDescent="0.25">
      <c r="B16" s="174" t="s">
        <v>767</v>
      </c>
      <c r="D16" s="181"/>
    </row>
    <row r="17" spans="1:5" x14ac:dyDescent="0.25">
      <c r="B17" s="174" t="s">
        <v>813</v>
      </c>
      <c r="C17" s="181" t="s">
        <v>761</v>
      </c>
      <c r="D17" s="181">
        <v>992</v>
      </c>
      <c r="E17" s="297">
        <f>'Krycí list rozpočtu'!I28</f>
        <v>0</v>
      </c>
    </row>
    <row r="18" spans="1:5" x14ac:dyDescent="0.25">
      <c r="B18" s="174" t="s">
        <v>768</v>
      </c>
    </row>
    <row r="19" spans="1:5" x14ac:dyDescent="0.25">
      <c r="D19" s="175" t="s">
        <v>769</v>
      </c>
      <c r="E19" s="182">
        <f>SUM(E9:E18)</f>
        <v>0</v>
      </c>
    </row>
    <row r="21" spans="1:5" x14ac:dyDescent="0.25">
      <c r="A21" s="173" t="s">
        <v>770</v>
      </c>
    </row>
    <row r="23" spans="1:5" x14ac:dyDescent="0.25">
      <c r="B23" s="174" t="s">
        <v>771</v>
      </c>
      <c r="C23" s="175"/>
      <c r="E23" s="297">
        <f>'SO 02'!H2</f>
        <v>0</v>
      </c>
    </row>
    <row r="24" spans="1:5" x14ac:dyDescent="0.25">
      <c r="A24" s="173"/>
      <c r="B24" s="174" t="s">
        <v>772</v>
      </c>
      <c r="E24" s="183"/>
    </row>
    <row r="25" spans="1:5" x14ac:dyDescent="0.25">
      <c r="B25" s="174" t="s">
        <v>814</v>
      </c>
      <c r="C25" s="175"/>
      <c r="D25" s="175" t="s">
        <v>773</v>
      </c>
      <c r="E25" s="182">
        <f>E23</f>
        <v>0</v>
      </c>
    </row>
    <row r="27" spans="1:5" x14ac:dyDescent="0.25">
      <c r="A27" s="173"/>
    </row>
    <row r="29" spans="1:5" x14ac:dyDescent="0.25">
      <c r="C29" s="175"/>
      <c r="D29" s="177"/>
      <c r="E29" s="177"/>
    </row>
    <row r="30" spans="1:5" x14ac:dyDescent="0.25">
      <c r="A30" s="173"/>
      <c r="D30" s="177"/>
      <c r="E30" s="177"/>
    </row>
    <row r="31" spans="1:5" x14ac:dyDescent="0.25">
      <c r="C31" s="175"/>
      <c r="D31" s="177"/>
      <c r="E31" s="177"/>
    </row>
    <row r="32" spans="1:5" x14ac:dyDescent="0.25">
      <c r="B32" s="184"/>
    </row>
    <row r="33" spans="1:5" x14ac:dyDescent="0.25">
      <c r="B33" s="184"/>
      <c r="C33" s="185"/>
      <c r="D33" s="185" t="s">
        <v>774</v>
      </c>
      <c r="E33" s="182">
        <f>E19+E25+E31</f>
        <v>0</v>
      </c>
    </row>
    <row r="34" spans="1:5" x14ac:dyDescent="0.25">
      <c r="B34" s="184"/>
      <c r="C34" s="185"/>
      <c r="D34" s="185"/>
      <c r="E34" s="186"/>
    </row>
    <row r="35" spans="1:5" x14ac:dyDescent="0.25">
      <c r="B35" s="184"/>
      <c r="C35" s="185"/>
      <c r="D35" s="185"/>
      <c r="E35" s="186"/>
    </row>
    <row r="38" spans="1:5" x14ac:dyDescent="0.25">
      <c r="A38" s="179" t="s">
        <v>775</v>
      </c>
    </row>
    <row r="39" spans="1:5" x14ac:dyDescent="0.25">
      <c r="B39" s="174" t="s">
        <v>776</v>
      </c>
    </row>
    <row r="40" spans="1:5" x14ac:dyDescent="0.25">
      <c r="B40" s="174" t="s">
        <v>777</v>
      </c>
      <c r="C40" s="187">
        <f>E23</f>
        <v>0</v>
      </c>
      <c r="D40" s="188">
        <v>4.7E-2</v>
      </c>
      <c r="E40" s="180">
        <f>C40*D40</f>
        <v>0</v>
      </c>
    </row>
    <row r="41" spans="1:5" x14ac:dyDescent="0.25">
      <c r="B41" s="174" t="s">
        <v>778</v>
      </c>
      <c r="C41" s="187">
        <f>E33</f>
        <v>0</v>
      </c>
      <c r="D41" s="188">
        <v>5.0000000000000001E-3</v>
      </c>
      <c r="E41" s="180">
        <f>C41*D41</f>
        <v>0</v>
      </c>
    </row>
    <row r="42" spans="1:5" x14ac:dyDescent="0.25">
      <c r="C42" s="187"/>
      <c r="D42" s="188"/>
      <c r="E42" s="177"/>
    </row>
    <row r="43" spans="1:5" x14ac:dyDescent="0.25">
      <c r="C43" s="189"/>
      <c r="D43" s="190"/>
      <c r="E43" s="177"/>
    </row>
    <row r="44" spans="1:5" x14ac:dyDescent="0.25">
      <c r="B44" s="179" t="s">
        <v>37</v>
      </c>
      <c r="D44" s="185" t="s">
        <v>779</v>
      </c>
      <c r="E44" s="182">
        <f>SUM(E40:E43)</f>
        <v>0</v>
      </c>
    </row>
    <row r="45" spans="1:5" x14ac:dyDescent="0.25">
      <c r="D45" s="191"/>
      <c r="E45" s="192"/>
    </row>
    <row r="46" spans="1:5" x14ac:dyDescent="0.25">
      <c r="D46" s="191"/>
      <c r="E46" s="192"/>
    </row>
    <row r="47" spans="1:5" x14ac:dyDescent="0.25">
      <c r="D47" s="191"/>
    </row>
    <row r="48" spans="1:5" s="193" customFormat="1" x14ac:dyDescent="0.25">
      <c r="A48" s="179" t="s">
        <v>780</v>
      </c>
      <c r="B48" s="179"/>
      <c r="C48" s="187">
        <f>E33</f>
        <v>0</v>
      </c>
      <c r="D48" s="188">
        <v>0.03</v>
      </c>
      <c r="E48" s="180">
        <f>C48*D48</f>
        <v>0</v>
      </c>
    </row>
    <row r="49" spans="1:5" s="193" customFormat="1" x14ac:dyDescent="0.25">
      <c r="A49" s="179"/>
      <c r="B49" s="179"/>
      <c r="C49" s="187"/>
      <c r="D49" s="185" t="s">
        <v>781</v>
      </c>
      <c r="E49" s="182">
        <f>E48</f>
        <v>0</v>
      </c>
    </row>
    <row r="50" spans="1:5" s="193" customFormat="1" x14ac:dyDescent="0.25">
      <c r="A50" s="179"/>
      <c r="B50" s="179"/>
      <c r="C50" s="187"/>
      <c r="D50" s="188"/>
      <c r="E50" s="183"/>
    </row>
    <row r="51" spans="1:5" x14ac:dyDescent="0.25">
      <c r="A51" s="179" t="s">
        <v>1194</v>
      </c>
    </row>
    <row r="52" spans="1:5" x14ac:dyDescent="0.25">
      <c r="A52" s="173" t="s">
        <v>782</v>
      </c>
    </row>
    <row r="53" spans="1:5" x14ac:dyDescent="0.25">
      <c r="A53" s="173" t="s">
        <v>757</v>
      </c>
    </row>
    <row r="54" spans="1:5" x14ac:dyDescent="0.25">
      <c r="A54" s="173"/>
    </row>
    <row r="55" spans="1:5" x14ac:dyDescent="0.25">
      <c r="A55" s="173"/>
    </row>
    <row r="56" spans="1:5" x14ac:dyDescent="0.25">
      <c r="A56" s="173" t="s">
        <v>783</v>
      </c>
    </row>
    <row r="57" spans="1:5" x14ac:dyDescent="0.25">
      <c r="A57" s="173"/>
    </row>
    <row r="58" spans="1:5" x14ac:dyDescent="0.25">
      <c r="A58" s="173"/>
    </row>
    <row r="60" spans="1:5" x14ac:dyDescent="0.25">
      <c r="A60" s="179" t="s">
        <v>784</v>
      </c>
      <c r="B60" s="179" t="s">
        <v>785</v>
      </c>
      <c r="C60" s="179"/>
      <c r="D60" s="194"/>
    </row>
    <row r="61" spans="1:5" x14ac:dyDescent="0.25">
      <c r="B61" s="174" t="s">
        <v>786</v>
      </c>
      <c r="C61" s="179"/>
      <c r="D61" s="194"/>
      <c r="E61" s="182">
        <v>0</v>
      </c>
    </row>
    <row r="62" spans="1:5" x14ac:dyDescent="0.25">
      <c r="B62" s="174" t="s">
        <v>787</v>
      </c>
      <c r="C62" s="179"/>
      <c r="D62" s="194"/>
      <c r="E62" s="182">
        <v>0</v>
      </c>
    </row>
    <row r="63" spans="1:5" x14ac:dyDescent="0.25">
      <c r="B63" s="174" t="s">
        <v>788</v>
      </c>
      <c r="C63" s="179"/>
      <c r="D63" s="194"/>
      <c r="E63" s="182">
        <v>0</v>
      </c>
    </row>
    <row r="64" spans="1:5" x14ac:dyDescent="0.25">
      <c r="B64" s="177"/>
      <c r="C64" s="177"/>
      <c r="D64" s="177"/>
      <c r="E64" s="177"/>
    </row>
    <row r="65" spans="1:5" x14ac:dyDescent="0.25">
      <c r="A65" s="179" t="s">
        <v>789</v>
      </c>
      <c r="B65" s="179" t="s">
        <v>790</v>
      </c>
      <c r="C65" s="179"/>
      <c r="D65" s="194"/>
      <c r="E65" s="183" t="s">
        <v>791</v>
      </c>
    </row>
    <row r="66" spans="1:5" x14ac:dyDescent="0.25">
      <c r="B66" s="179"/>
      <c r="C66" s="179"/>
      <c r="D66" s="194"/>
      <c r="E66" s="183"/>
    </row>
    <row r="67" spans="1:5" x14ac:dyDescent="0.25">
      <c r="B67" s="179"/>
      <c r="C67" s="179"/>
      <c r="D67" s="194"/>
      <c r="E67" s="183"/>
    </row>
    <row r="68" spans="1:5" x14ac:dyDescent="0.25">
      <c r="A68" s="179" t="s">
        <v>792</v>
      </c>
      <c r="B68" s="179" t="s">
        <v>793</v>
      </c>
      <c r="C68" s="179"/>
      <c r="D68" s="194"/>
      <c r="E68" s="182">
        <f>E33</f>
        <v>0</v>
      </c>
    </row>
    <row r="69" spans="1:5" x14ac:dyDescent="0.25">
      <c r="B69" s="179"/>
      <c r="C69" s="179"/>
      <c r="D69" s="194"/>
      <c r="E69" s="183"/>
    </row>
    <row r="70" spans="1:5" x14ac:dyDescent="0.25">
      <c r="B70" s="179"/>
      <c r="C70" s="179"/>
      <c r="D70" s="194"/>
      <c r="E70" s="183"/>
    </row>
    <row r="71" spans="1:5" x14ac:dyDescent="0.25">
      <c r="A71" s="179" t="s">
        <v>794</v>
      </c>
      <c r="B71" s="179" t="s">
        <v>795</v>
      </c>
      <c r="C71" s="179"/>
      <c r="D71" s="194"/>
      <c r="E71" s="183" t="s">
        <v>791</v>
      </c>
    </row>
    <row r="72" spans="1:5" x14ac:dyDescent="0.25">
      <c r="B72" s="179"/>
      <c r="C72" s="179"/>
      <c r="D72" s="194"/>
      <c r="E72" s="183"/>
    </row>
    <row r="73" spans="1:5" x14ac:dyDescent="0.25">
      <c r="B73" s="179"/>
      <c r="C73" s="179"/>
      <c r="D73" s="194"/>
      <c r="E73" s="183"/>
    </row>
    <row r="74" spans="1:5" x14ac:dyDescent="0.25">
      <c r="A74" s="179" t="s">
        <v>796</v>
      </c>
      <c r="B74" s="179" t="s">
        <v>797</v>
      </c>
      <c r="C74" s="179"/>
      <c r="D74" s="194"/>
      <c r="E74" s="183" t="s">
        <v>791</v>
      </c>
    </row>
    <row r="75" spans="1:5" x14ac:dyDescent="0.25">
      <c r="B75" s="179"/>
      <c r="C75" s="179"/>
      <c r="D75" s="194"/>
      <c r="E75" s="183"/>
    </row>
    <row r="76" spans="1:5" x14ac:dyDescent="0.25">
      <c r="B76" s="179"/>
      <c r="C76" s="179"/>
      <c r="D76" s="194"/>
      <c r="E76" s="183"/>
    </row>
    <row r="77" spans="1:5" x14ac:dyDescent="0.25">
      <c r="A77" s="179" t="s">
        <v>798</v>
      </c>
      <c r="B77" s="179" t="s">
        <v>799</v>
      </c>
      <c r="C77" s="179"/>
      <c r="D77" s="194"/>
      <c r="E77" s="182">
        <f>E44</f>
        <v>0</v>
      </c>
    </row>
    <row r="78" spans="1:5" x14ac:dyDescent="0.25">
      <c r="B78" s="179"/>
      <c r="C78" s="179"/>
      <c r="D78" s="194"/>
      <c r="E78" s="183"/>
    </row>
    <row r="79" spans="1:5" x14ac:dyDescent="0.25">
      <c r="A79" s="196"/>
      <c r="B79" s="179"/>
      <c r="C79" s="179"/>
      <c r="D79" s="194"/>
      <c r="E79" s="183"/>
    </row>
    <row r="80" spans="1:5" x14ac:dyDescent="0.25">
      <c r="A80" s="179" t="s">
        <v>800</v>
      </c>
      <c r="B80" s="179" t="s">
        <v>801</v>
      </c>
      <c r="C80" s="179"/>
      <c r="D80" s="194"/>
      <c r="E80" s="183" t="s">
        <v>791</v>
      </c>
    </row>
    <row r="81" spans="1:5" x14ac:dyDescent="0.25">
      <c r="B81" s="179"/>
      <c r="C81" s="179"/>
      <c r="D81" s="194"/>
      <c r="E81" s="183"/>
    </row>
    <row r="82" spans="1:5" x14ac:dyDescent="0.25">
      <c r="B82" s="179"/>
      <c r="C82" s="179"/>
      <c r="D82" s="194"/>
      <c r="E82" s="183"/>
    </row>
    <row r="83" spans="1:5" x14ac:dyDescent="0.25">
      <c r="A83" s="179" t="s">
        <v>802</v>
      </c>
      <c r="B83" s="179" t="s">
        <v>803</v>
      </c>
      <c r="C83" s="179"/>
      <c r="D83" s="194"/>
      <c r="E83" s="182">
        <v>0</v>
      </c>
    </row>
    <row r="84" spans="1:5" x14ac:dyDescent="0.25">
      <c r="B84" s="179"/>
      <c r="C84" s="179"/>
      <c r="D84" s="194"/>
      <c r="E84" s="183"/>
    </row>
    <row r="85" spans="1:5" x14ac:dyDescent="0.25">
      <c r="B85" s="179"/>
      <c r="C85" s="179"/>
      <c r="D85" s="194"/>
      <c r="E85" s="183"/>
    </row>
    <row r="86" spans="1:5" x14ac:dyDescent="0.25">
      <c r="A86" s="179" t="s">
        <v>804</v>
      </c>
      <c r="B86" s="179" t="s">
        <v>805</v>
      </c>
      <c r="C86" s="179"/>
      <c r="D86" s="194"/>
      <c r="E86" s="183" t="s">
        <v>791</v>
      </c>
    </row>
    <row r="87" spans="1:5" x14ac:dyDescent="0.25">
      <c r="B87" s="179"/>
      <c r="C87" s="179"/>
      <c r="D87" s="194"/>
      <c r="E87" s="183"/>
    </row>
    <row r="88" spans="1:5" x14ac:dyDescent="0.25">
      <c r="B88" s="179"/>
      <c r="C88" s="179"/>
      <c r="D88" s="194"/>
      <c r="E88" s="183"/>
    </row>
    <row r="89" spans="1:5" x14ac:dyDescent="0.25">
      <c r="A89" s="179" t="s">
        <v>806</v>
      </c>
      <c r="B89" s="179" t="s">
        <v>807</v>
      </c>
      <c r="C89" s="179"/>
      <c r="D89" s="194"/>
      <c r="E89" s="183" t="s">
        <v>791</v>
      </c>
    </row>
    <row r="90" spans="1:5" x14ac:dyDescent="0.25">
      <c r="B90" s="179" t="s">
        <v>808</v>
      </c>
      <c r="C90" s="179"/>
      <c r="D90" s="194"/>
      <c r="E90" s="183"/>
    </row>
    <row r="91" spans="1:5" x14ac:dyDescent="0.25">
      <c r="B91" s="179"/>
      <c r="C91" s="179"/>
      <c r="D91" s="194"/>
      <c r="E91" s="183"/>
    </row>
    <row r="92" spans="1:5" x14ac:dyDescent="0.25">
      <c r="A92" s="179" t="s">
        <v>809</v>
      </c>
      <c r="B92" s="179" t="s">
        <v>810</v>
      </c>
      <c r="C92" s="179"/>
      <c r="D92" s="194"/>
      <c r="E92" s="182">
        <f>E49</f>
        <v>0</v>
      </c>
    </row>
    <row r="93" spans="1:5" x14ac:dyDescent="0.25">
      <c r="B93" s="179"/>
      <c r="C93" s="179"/>
      <c r="D93" s="194"/>
      <c r="E93" s="195"/>
    </row>
    <row r="94" spans="1:5" ht="16.5" thickBot="1" x14ac:dyDescent="0.3">
      <c r="A94" s="197"/>
      <c r="B94" s="198"/>
      <c r="C94" s="198"/>
      <c r="D94" s="199"/>
      <c r="E94" s="200"/>
    </row>
    <row r="95" spans="1:5" x14ac:dyDescent="0.25">
      <c r="D95" s="194"/>
      <c r="E95" s="175"/>
    </row>
    <row r="96" spans="1:5" x14ac:dyDescent="0.25">
      <c r="D96" s="194"/>
      <c r="E96" s="175"/>
    </row>
    <row r="97" spans="1:5" x14ac:dyDescent="0.25">
      <c r="A97" s="179" t="s">
        <v>811</v>
      </c>
      <c r="D97" s="194"/>
      <c r="E97" s="182">
        <f>SUM(E60:E94)</f>
        <v>0</v>
      </c>
    </row>
    <row r="98" spans="1:5" x14ac:dyDescent="0.25">
      <c r="D98" s="194"/>
      <c r="E98" s="183"/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9" scale="70" firstPageNumber="0" fitToHeight="2" orientation="portrait" blackAndWhite="1" horizontalDpi="300" verticalDpi="300" r:id="rId1"/>
  <headerFooter alignWithMargins="0">
    <oddHeader>&amp;RKV-2225-G1-1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19" workbookViewId="0">
      <selection activeCell="J66" sqref="J6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302" t="s">
        <v>1196</v>
      </c>
      <c r="B1" s="303"/>
      <c r="C1" s="303"/>
      <c r="D1" s="303"/>
      <c r="E1" s="303"/>
      <c r="F1" s="303"/>
      <c r="G1" s="303"/>
      <c r="H1" s="303"/>
      <c r="I1" s="303"/>
    </row>
    <row r="2" spans="1:9" x14ac:dyDescent="0.25">
      <c r="A2" s="304" t="s">
        <v>0</v>
      </c>
      <c r="B2" s="305"/>
      <c r="C2" s="314" t="str">
        <f>'Stavební rozpočet'!D2</f>
        <v>Karlovy Vary, Výměna gravitačního řádu termominerální vody</v>
      </c>
      <c r="D2" s="315"/>
      <c r="E2" s="309" t="s">
        <v>4</v>
      </c>
      <c r="F2" s="309" t="str">
        <f>'Stavební rozpočet'!J2</f>
        <v>SPLZaK, Lázeňská 2, 36001 Karlovy Vary</v>
      </c>
      <c r="G2" s="305"/>
      <c r="H2" s="309" t="s">
        <v>554</v>
      </c>
      <c r="I2" s="311" t="s">
        <v>53</v>
      </c>
    </row>
    <row r="3" spans="1:9" ht="15" customHeight="1" x14ac:dyDescent="0.25">
      <c r="A3" s="306"/>
      <c r="B3" s="307"/>
      <c r="C3" s="316"/>
      <c r="D3" s="316"/>
      <c r="E3" s="307"/>
      <c r="F3" s="307"/>
      <c r="G3" s="307"/>
      <c r="H3" s="307"/>
      <c r="I3" s="312"/>
    </row>
    <row r="4" spans="1:9" x14ac:dyDescent="0.25">
      <c r="A4" s="308" t="s">
        <v>6</v>
      </c>
      <c r="B4" s="307"/>
      <c r="C4" s="310" t="str">
        <f>'Stavební rozpočet'!D4</f>
        <v>RT-2516-2</v>
      </c>
      <c r="D4" s="307"/>
      <c r="E4" s="310" t="s">
        <v>10</v>
      </c>
      <c r="F4" s="310" t="str">
        <f>'Stavební rozpočet'!J4</f>
        <v>ALFA-projekt, s.r.o., K Panelárně 172, 352 32 Otovice</v>
      </c>
      <c r="G4" s="307"/>
      <c r="H4" s="310" t="s">
        <v>554</v>
      </c>
      <c r="I4" s="312" t="s">
        <v>53</v>
      </c>
    </row>
    <row r="5" spans="1:9" ht="15" customHeight="1" x14ac:dyDescent="0.25">
      <c r="A5" s="306"/>
      <c r="B5" s="307"/>
      <c r="C5" s="307"/>
      <c r="D5" s="307"/>
      <c r="E5" s="307"/>
      <c r="F5" s="307"/>
      <c r="G5" s="307"/>
      <c r="H5" s="307"/>
      <c r="I5" s="312"/>
    </row>
    <row r="6" spans="1:9" x14ac:dyDescent="0.25">
      <c r="A6" s="308" t="s">
        <v>11</v>
      </c>
      <c r="B6" s="307"/>
      <c r="C6" s="310" t="str">
        <f>'Stavební rozpočet'!D6</f>
        <v>K. Vary - Výměna gravitačního řadu termominerální vody</v>
      </c>
      <c r="D6" s="307"/>
      <c r="E6" s="310" t="s">
        <v>13</v>
      </c>
      <c r="F6" s="310" t="str">
        <f>'Stavební rozpočet'!J6</f>
        <v> </v>
      </c>
      <c r="G6" s="307"/>
      <c r="H6" s="310" t="s">
        <v>554</v>
      </c>
      <c r="I6" s="312" t="s">
        <v>53</v>
      </c>
    </row>
    <row r="7" spans="1:9" ht="15" customHeight="1" x14ac:dyDescent="0.25">
      <c r="A7" s="306"/>
      <c r="B7" s="307"/>
      <c r="C7" s="307"/>
      <c r="D7" s="307"/>
      <c r="E7" s="307"/>
      <c r="F7" s="307"/>
      <c r="G7" s="307"/>
      <c r="H7" s="307"/>
      <c r="I7" s="312"/>
    </row>
    <row r="8" spans="1:9" x14ac:dyDescent="0.25">
      <c r="A8" s="308" t="s">
        <v>8</v>
      </c>
      <c r="B8" s="307"/>
      <c r="C8" s="310" t="str">
        <f>'Stavební rozpočet'!H4</f>
        <v>26.07.2025</v>
      </c>
      <c r="D8" s="307"/>
      <c r="E8" s="310" t="s">
        <v>12</v>
      </c>
      <c r="F8" s="310" t="str">
        <f>'Stavební rozpočet'!H6</f>
        <v xml:space="preserve"> </v>
      </c>
      <c r="G8" s="307"/>
      <c r="H8" s="307" t="s">
        <v>555</v>
      </c>
      <c r="I8" s="313">
        <f>MAX('Stavební rozpočet'!A:A)</f>
        <v>186</v>
      </c>
    </row>
    <row r="9" spans="1:9" x14ac:dyDescent="0.25">
      <c r="A9" s="306"/>
      <c r="B9" s="307"/>
      <c r="C9" s="307"/>
      <c r="D9" s="307"/>
      <c r="E9" s="307"/>
      <c r="F9" s="307"/>
      <c r="G9" s="307"/>
      <c r="H9" s="307"/>
      <c r="I9" s="312"/>
    </row>
    <row r="10" spans="1:9" x14ac:dyDescent="0.25">
      <c r="A10" s="308" t="s">
        <v>15</v>
      </c>
      <c r="B10" s="307"/>
      <c r="C10" s="310" t="str">
        <f>'Stavební rozpočet'!D8</f>
        <v>827</v>
      </c>
      <c r="D10" s="307"/>
      <c r="E10" s="310" t="s">
        <v>18</v>
      </c>
      <c r="F10" s="310" t="str">
        <f>'Stavební rozpočet'!J8</f>
        <v>ALFA-projekt, s.r.o., K Panelárně 172, 352 32 Otovice</v>
      </c>
      <c r="G10" s="307"/>
      <c r="H10" s="307" t="s">
        <v>556</v>
      </c>
      <c r="I10" s="318">
        <f>'Stavební rozpočet'!H8</f>
        <v>45965</v>
      </c>
    </row>
    <row r="11" spans="1:9" x14ac:dyDescent="0.25">
      <c r="A11" s="323"/>
      <c r="B11" s="317"/>
      <c r="C11" s="317"/>
      <c r="D11" s="317"/>
      <c r="E11" s="317"/>
      <c r="F11" s="317"/>
      <c r="G11" s="317"/>
      <c r="H11" s="317"/>
      <c r="I11" s="319"/>
    </row>
    <row r="12" spans="1:9" ht="23.25" x14ac:dyDescent="0.25">
      <c r="A12" s="320" t="s">
        <v>557</v>
      </c>
      <c r="B12" s="320"/>
      <c r="C12" s="320"/>
      <c r="D12" s="320"/>
      <c r="E12" s="320"/>
      <c r="F12" s="320"/>
      <c r="G12" s="320"/>
      <c r="H12" s="320"/>
      <c r="I12" s="320"/>
    </row>
    <row r="13" spans="1:9" ht="26.25" customHeight="1" x14ac:dyDescent="0.25">
      <c r="A13" s="65" t="s">
        <v>558</v>
      </c>
      <c r="B13" s="321" t="s">
        <v>559</v>
      </c>
      <c r="C13" s="322"/>
      <c r="D13" s="66" t="s">
        <v>560</v>
      </c>
      <c r="E13" s="321" t="s">
        <v>561</v>
      </c>
      <c r="F13" s="322"/>
      <c r="G13" s="66" t="s">
        <v>562</v>
      </c>
      <c r="H13" s="321" t="s">
        <v>563</v>
      </c>
      <c r="I13" s="322"/>
    </row>
    <row r="14" spans="1:9" ht="15.75" x14ac:dyDescent="0.25">
      <c r="A14" s="67" t="s">
        <v>564</v>
      </c>
      <c r="B14" s="68" t="s">
        <v>565</v>
      </c>
      <c r="C14" s="69">
        <f>SUM('Stavební rozpočet'!AB12:AB963)</f>
        <v>0</v>
      </c>
      <c r="D14" s="330" t="s">
        <v>566</v>
      </c>
      <c r="E14" s="331"/>
      <c r="F14" s="69">
        <f>VORN!I15</f>
        <v>0</v>
      </c>
      <c r="G14" s="330" t="s">
        <v>567</v>
      </c>
      <c r="H14" s="331"/>
      <c r="I14" s="69">
        <f>0.035*C22</f>
        <v>0</v>
      </c>
    </row>
    <row r="15" spans="1:9" ht="15.75" x14ac:dyDescent="0.25">
      <c r="A15" s="70" t="s">
        <v>53</v>
      </c>
      <c r="B15" s="68" t="s">
        <v>36</v>
      </c>
      <c r="C15" s="69">
        <f>SUM('Stavební rozpočet'!AC12:AC963)</f>
        <v>0</v>
      </c>
      <c r="D15" s="330" t="s">
        <v>568</v>
      </c>
      <c r="E15" s="331"/>
      <c r="F15" s="69">
        <f>VORN!I16</f>
        <v>0</v>
      </c>
      <c r="G15" s="330" t="s">
        <v>569</v>
      </c>
      <c r="H15" s="331"/>
      <c r="I15" s="69">
        <f>VORN!I27</f>
        <v>0</v>
      </c>
    </row>
    <row r="16" spans="1:9" ht="15.75" x14ac:dyDescent="0.25">
      <c r="A16" s="67" t="s">
        <v>570</v>
      </c>
      <c r="B16" s="68" t="s">
        <v>565</v>
      </c>
      <c r="C16" s="69">
        <f>SUM('Stavební rozpočet'!AD12:AD963)</f>
        <v>0</v>
      </c>
      <c r="D16" s="330" t="s">
        <v>571</v>
      </c>
      <c r="E16" s="331"/>
      <c r="F16" s="69">
        <f>VORN!I17</f>
        <v>0</v>
      </c>
      <c r="G16" s="330" t="s">
        <v>572</v>
      </c>
      <c r="H16" s="331"/>
      <c r="I16" s="69">
        <f>VORN!I28</f>
        <v>0</v>
      </c>
    </row>
    <row r="17" spans="1:9" ht="15.75" x14ac:dyDescent="0.25">
      <c r="A17" s="70" t="s">
        <v>53</v>
      </c>
      <c r="B17" s="68" t="s">
        <v>36</v>
      </c>
      <c r="C17" s="69">
        <f>SUM('Stavební rozpočet'!AE12:AE963)</f>
        <v>0</v>
      </c>
      <c r="D17" s="330" t="str">
        <f>VORN!A18</f>
        <v>Vytýčení inž. sítí</v>
      </c>
      <c r="E17" s="331"/>
      <c r="F17" s="69">
        <f>VORN!I18</f>
        <v>0</v>
      </c>
      <c r="G17" s="330" t="s">
        <v>574</v>
      </c>
      <c r="H17" s="331"/>
      <c r="I17" s="69">
        <f>VORN!I29</f>
        <v>0</v>
      </c>
    </row>
    <row r="18" spans="1:9" ht="15.75" x14ac:dyDescent="0.25">
      <c r="A18" s="67" t="s">
        <v>575</v>
      </c>
      <c r="B18" s="68" t="s">
        <v>565</v>
      </c>
      <c r="C18" s="69">
        <f>SUM('Stavební rozpočet'!AF12:AF963)</f>
        <v>0</v>
      </c>
      <c r="D18" s="330" t="str">
        <f>VORN!A19</f>
        <v>Vytýčení stavby</v>
      </c>
      <c r="E18" s="331"/>
      <c r="F18" s="69">
        <f>VORN!I19</f>
        <v>0</v>
      </c>
      <c r="G18" s="330" t="s">
        <v>577</v>
      </c>
      <c r="H18" s="331"/>
      <c r="I18" s="69">
        <f>VORN!I30</f>
        <v>0</v>
      </c>
    </row>
    <row r="19" spans="1:9" ht="15.75" x14ac:dyDescent="0.25">
      <c r="A19" s="70" t="s">
        <v>53</v>
      </c>
      <c r="B19" s="68" t="s">
        <v>36</v>
      </c>
      <c r="C19" s="69">
        <f>SUM('Stavební rozpočet'!AG12:AG963)</f>
        <v>0</v>
      </c>
      <c r="D19" s="330">
        <f>VORN!A20</f>
        <v>0</v>
      </c>
      <c r="E19" s="331"/>
      <c r="F19" s="69">
        <f>VORN!I20</f>
        <v>0</v>
      </c>
      <c r="G19" s="330" t="s">
        <v>578</v>
      </c>
      <c r="H19" s="331"/>
      <c r="I19" s="69">
        <f>VORN!I31</f>
        <v>0</v>
      </c>
    </row>
    <row r="20" spans="1:9" ht="15.75" x14ac:dyDescent="0.25">
      <c r="A20" s="324" t="s">
        <v>579</v>
      </c>
      <c r="B20" s="325"/>
      <c r="C20" s="69">
        <f>SUM('Stavební rozpočet'!AH12:AH963)</f>
        <v>0</v>
      </c>
      <c r="D20" s="330">
        <f>VORN!A21</f>
        <v>0</v>
      </c>
      <c r="E20" s="331"/>
      <c r="F20" s="69">
        <f>VORN!I21</f>
        <v>0</v>
      </c>
      <c r="G20" s="330" t="s">
        <v>53</v>
      </c>
      <c r="H20" s="331"/>
      <c r="I20" s="71" t="s">
        <v>53</v>
      </c>
    </row>
    <row r="21" spans="1:9" ht="15.75" x14ac:dyDescent="0.25">
      <c r="A21" s="326" t="s">
        <v>580</v>
      </c>
      <c r="B21" s="327"/>
      <c r="C21" s="72">
        <f>SUM('Stavební rozpočet'!Z12:Z963)</f>
        <v>0</v>
      </c>
      <c r="D21" s="332"/>
      <c r="E21" s="333"/>
      <c r="F21" s="72"/>
      <c r="G21" s="332" t="s">
        <v>53</v>
      </c>
      <c r="H21" s="333"/>
      <c r="I21" s="73" t="s">
        <v>53</v>
      </c>
    </row>
    <row r="22" spans="1:9" ht="16.5" customHeight="1" x14ac:dyDescent="0.25">
      <c r="A22" s="328" t="s">
        <v>581</v>
      </c>
      <c r="B22" s="329"/>
      <c r="C22" s="74">
        <f>'Rozpočet - Jen podskupiny'!K46</f>
        <v>0</v>
      </c>
      <c r="D22" s="334" t="s">
        <v>582</v>
      </c>
      <c r="E22" s="329"/>
      <c r="F22" s="74">
        <f>SUM(F14:F21)</f>
        <v>0</v>
      </c>
      <c r="G22" s="334" t="s">
        <v>583</v>
      </c>
      <c r="H22" s="329"/>
      <c r="I22" s="74">
        <f>SUM(I14:I21)</f>
        <v>0</v>
      </c>
    </row>
    <row r="23" spans="1:9" ht="15.75" x14ac:dyDescent="0.25">
      <c r="D23" s="324" t="s">
        <v>584</v>
      </c>
      <c r="E23" s="325"/>
      <c r="F23" s="75">
        <v>0</v>
      </c>
      <c r="G23" s="335" t="s">
        <v>585</v>
      </c>
      <c r="H23" s="325"/>
      <c r="I23" s="69">
        <v>0</v>
      </c>
    </row>
    <row r="24" spans="1:9" ht="15.75" x14ac:dyDescent="0.25">
      <c r="G24" s="324" t="s">
        <v>586</v>
      </c>
      <c r="H24" s="325"/>
      <c r="I24" s="69">
        <f>vorn_sum</f>
        <v>0</v>
      </c>
    </row>
    <row r="25" spans="1:9" ht="15.75" x14ac:dyDescent="0.25">
      <c r="G25" s="324" t="s">
        <v>587</v>
      </c>
      <c r="H25" s="325"/>
      <c r="I25" s="69">
        <v>0</v>
      </c>
    </row>
    <row r="27" spans="1:9" ht="15.75" x14ac:dyDescent="0.25">
      <c r="A27" s="336" t="s">
        <v>588</v>
      </c>
      <c r="B27" s="337"/>
      <c r="C27" s="76">
        <f>ROUND(SUM('Stavební rozpočet'!AJ12:AJ963),2)</f>
        <v>0</v>
      </c>
    </row>
    <row r="28" spans="1:9" ht="15.75" x14ac:dyDescent="0.25">
      <c r="A28" s="338" t="s">
        <v>589</v>
      </c>
      <c r="B28" s="339"/>
      <c r="C28" s="77">
        <f>ROUND(SUM('Stavební rozpočet'!AK12:AK963),2)</f>
        <v>0</v>
      </c>
      <c r="D28" s="340" t="s">
        <v>590</v>
      </c>
      <c r="E28" s="337"/>
      <c r="F28" s="76">
        <f>ROUND(C28*(12/100),2)</f>
        <v>0</v>
      </c>
      <c r="G28" s="340" t="s">
        <v>591</v>
      </c>
      <c r="H28" s="337"/>
      <c r="I28" s="76">
        <f>ROUND(SUM(C27:C29),2)</f>
        <v>0</v>
      </c>
    </row>
    <row r="29" spans="1:9" ht="15.75" x14ac:dyDescent="0.25">
      <c r="A29" s="338" t="s">
        <v>592</v>
      </c>
      <c r="B29" s="339"/>
      <c r="C29" s="77">
        <f>ROUND(SUM('Stavební rozpočet'!AL12:AL963)+(F22+I22+F23+I23+I24+I25),2)</f>
        <v>0</v>
      </c>
      <c r="D29" s="341" t="s">
        <v>593</v>
      </c>
      <c r="E29" s="339"/>
      <c r="F29" s="77">
        <f>ROUND(C29*(21/100),2)</f>
        <v>0</v>
      </c>
      <c r="G29" s="341" t="s">
        <v>594</v>
      </c>
      <c r="H29" s="339"/>
      <c r="I29" s="77">
        <f>ROUND(SUM(F28:F29)+I28,2)</f>
        <v>0</v>
      </c>
    </row>
    <row r="31" spans="1:9" x14ac:dyDescent="0.25">
      <c r="A31" s="351" t="s">
        <v>595</v>
      </c>
      <c r="B31" s="343"/>
      <c r="C31" s="344"/>
      <c r="D31" s="342" t="s">
        <v>596</v>
      </c>
      <c r="E31" s="343"/>
      <c r="F31" s="344"/>
      <c r="G31" s="342" t="s">
        <v>597</v>
      </c>
      <c r="H31" s="343"/>
      <c r="I31" s="344"/>
    </row>
    <row r="32" spans="1:9" x14ac:dyDescent="0.25">
      <c r="A32" s="352" t="s">
        <v>53</v>
      </c>
      <c r="B32" s="346"/>
      <c r="C32" s="347"/>
      <c r="D32" s="345" t="s">
        <v>53</v>
      </c>
      <c r="E32" s="346"/>
      <c r="F32" s="347"/>
      <c r="G32" s="345" t="s">
        <v>53</v>
      </c>
      <c r="H32" s="346"/>
      <c r="I32" s="347"/>
    </row>
    <row r="33" spans="1:9" x14ac:dyDescent="0.25">
      <c r="A33" s="352" t="s">
        <v>53</v>
      </c>
      <c r="B33" s="346"/>
      <c r="C33" s="347"/>
      <c r="D33" s="345" t="s">
        <v>53</v>
      </c>
      <c r="E33" s="346"/>
      <c r="F33" s="347"/>
      <c r="G33" s="345" t="s">
        <v>53</v>
      </c>
      <c r="H33" s="346"/>
      <c r="I33" s="347"/>
    </row>
    <row r="34" spans="1:9" x14ac:dyDescent="0.25">
      <c r="A34" s="352" t="s">
        <v>53</v>
      </c>
      <c r="B34" s="346"/>
      <c r="C34" s="347"/>
      <c r="D34" s="345" t="s">
        <v>53</v>
      </c>
      <c r="E34" s="346"/>
      <c r="F34" s="347"/>
      <c r="G34" s="345" t="s">
        <v>53</v>
      </c>
      <c r="H34" s="346"/>
      <c r="I34" s="347"/>
    </row>
    <row r="35" spans="1:9" x14ac:dyDescent="0.25">
      <c r="A35" s="353" t="s">
        <v>598</v>
      </c>
      <c r="B35" s="349"/>
      <c r="C35" s="350"/>
      <c r="D35" s="348" t="s">
        <v>598</v>
      </c>
      <c r="E35" s="349"/>
      <c r="F35" s="350"/>
      <c r="G35" s="348" t="s">
        <v>598</v>
      </c>
      <c r="H35" s="349"/>
      <c r="I35" s="350"/>
    </row>
    <row r="36" spans="1:9" x14ac:dyDescent="0.25">
      <c r="A36" s="78" t="s">
        <v>551</v>
      </c>
    </row>
    <row r="37" spans="1:9" ht="12.75" customHeight="1" x14ac:dyDescent="0.25">
      <c r="A37" s="310" t="s">
        <v>53</v>
      </c>
      <c r="B37" s="307"/>
      <c r="C37" s="307"/>
      <c r="D37" s="307"/>
      <c r="E37" s="307"/>
      <c r="F37" s="307"/>
      <c r="G37" s="307"/>
      <c r="H37" s="307"/>
      <c r="I37" s="307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rintOptions horizontalCentered="1"/>
  <pageMargins left="0.59055118110236227" right="0.59055118110236227" top="0.59055118110236227" bottom="0.59055118110236227" header="0" footer="0.39370078740157483"/>
  <pageSetup scale="84" orientation="landscape" r:id="rId1"/>
  <headerFooter>
    <oddHeader>&amp;R
KV-2225-G1-2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8"/>
  <sheetViews>
    <sheetView workbookViewId="0">
      <pane ySplit="11" topLeftCell="A15" activePane="bottomLeft" state="frozen"/>
      <selection activeCell="J66" sqref="J66"/>
      <selection pane="bottomLeft" activeCell="J66" sqref="J66"/>
    </sheetView>
  </sheetViews>
  <sheetFormatPr defaultColWidth="12.140625" defaultRowHeight="15" customHeight="1" x14ac:dyDescent="0.25"/>
  <cols>
    <col min="1" max="1" width="7.5703125" customWidth="1"/>
    <col min="2" max="2" width="5.7109375" customWidth="1"/>
    <col min="3" max="8" width="15.7109375" customWidth="1"/>
    <col min="9" max="12" width="14.28515625" customWidth="1"/>
    <col min="13" max="13" width="0" hidden="1" customWidth="1"/>
    <col min="14" max="14" width="12.7109375" hidden="1" customWidth="1"/>
    <col min="15" max="16" width="0" hidden="1" customWidth="1"/>
  </cols>
  <sheetData>
    <row r="1" spans="1:16" ht="54.75" customHeight="1" x14ac:dyDescent="0.25">
      <c r="A1" s="303" t="s">
        <v>552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6" x14ac:dyDescent="0.25">
      <c r="A2" s="304" t="s">
        <v>0</v>
      </c>
      <c r="B2" s="305"/>
      <c r="C2" s="305"/>
      <c r="D2" s="314" t="str">
        <f>'Stavební rozpočet'!D2</f>
        <v>Karlovy Vary, Výměna gravitačního řádu termominerální vody</v>
      </c>
      <c r="E2" s="315"/>
      <c r="F2" s="315"/>
      <c r="G2" s="309" t="s">
        <v>2</v>
      </c>
      <c r="H2" s="309" t="str">
        <f>'Stavební rozpočet'!H2</f>
        <v xml:space="preserve"> </v>
      </c>
      <c r="I2" s="309" t="s">
        <v>4</v>
      </c>
      <c r="J2" s="309" t="str">
        <f>'Stavební rozpočet'!J2</f>
        <v>SPLZaK, Lázeňská 2, 36001 Karlovy Vary</v>
      </c>
      <c r="K2" s="305"/>
      <c r="L2" s="311"/>
    </row>
    <row r="3" spans="1:16" ht="15" customHeight="1" x14ac:dyDescent="0.25">
      <c r="A3" s="306"/>
      <c r="B3" s="307"/>
      <c r="C3" s="307"/>
      <c r="D3" s="316"/>
      <c r="E3" s="316"/>
      <c r="F3" s="316"/>
      <c r="G3" s="307"/>
      <c r="H3" s="307"/>
      <c r="I3" s="307"/>
      <c r="J3" s="307"/>
      <c r="K3" s="307"/>
      <c r="L3" s="312"/>
    </row>
    <row r="4" spans="1:16" x14ac:dyDescent="0.25">
      <c r="A4" s="308" t="s">
        <v>6</v>
      </c>
      <c r="B4" s="307"/>
      <c r="C4" s="307"/>
      <c r="D4" s="310" t="str">
        <f>'Stavební rozpočet'!D4</f>
        <v>RT-2516-2</v>
      </c>
      <c r="E4" s="307"/>
      <c r="F4" s="307"/>
      <c r="G4" s="310" t="s">
        <v>8</v>
      </c>
      <c r="H4" s="310" t="str">
        <f>'Stavební rozpočet'!H4</f>
        <v>26.07.2025</v>
      </c>
      <c r="I4" s="310" t="s">
        <v>10</v>
      </c>
      <c r="J4" s="310" t="str">
        <f>'Stavební rozpočet'!J4</f>
        <v>ALFA-projekt, s.r.o., K Panelárně 172, 352 32 Otovice</v>
      </c>
      <c r="K4" s="307"/>
      <c r="L4" s="312"/>
    </row>
    <row r="5" spans="1:16" ht="15" customHeight="1" x14ac:dyDescent="0.25">
      <c r="A5" s="306"/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12"/>
    </row>
    <row r="6" spans="1:16" x14ac:dyDescent="0.25">
      <c r="A6" s="308" t="s">
        <v>11</v>
      </c>
      <c r="B6" s="307"/>
      <c r="C6" s="307"/>
      <c r="D6" s="310" t="str">
        <f>'Stavební rozpočet'!D6</f>
        <v>K. Vary - Výměna gravitačního řadu termominerální vody</v>
      </c>
      <c r="E6" s="307"/>
      <c r="F6" s="307"/>
      <c r="G6" s="310" t="s">
        <v>12</v>
      </c>
      <c r="H6" s="310" t="str">
        <f>'Stavební rozpočet'!H6</f>
        <v xml:space="preserve"> </v>
      </c>
      <c r="I6" s="310" t="s">
        <v>13</v>
      </c>
      <c r="J6" s="310" t="str">
        <f>'Stavební rozpočet'!J6</f>
        <v> </v>
      </c>
      <c r="K6" s="307"/>
      <c r="L6" s="312"/>
    </row>
    <row r="7" spans="1:16" ht="15" customHeight="1" x14ac:dyDescent="0.25">
      <c r="A7" s="306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12"/>
    </row>
    <row r="8" spans="1:16" x14ac:dyDescent="0.25">
      <c r="A8" s="308" t="s">
        <v>15</v>
      </c>
      <c r="B8" s="307"/>
      <c r="C8" s="307"/>
      <c r="D8" s="310" t="str">
        <f>'Stavební rozpočet'!D8</f>
        <v>827</v>
      </c>
      <c r="E8" s="307"/>
      <c r="F8" s="307"/>
      <c r="G8" s="310" t="s">
        <v>17</v>
      </c>
      <c r="H8" s="357">
        <f>'Stavební rozpočet'!H8</f>
        <v>45965</v>
      </c>
      <c r="I8" s="310" t="s">
        <v>18</v>
      </c>
      <c r="J8" s="310" t="str">
        <f>'Stavební rozpočet'!J8</f>
        <v>ALFA-projekt, s.r.o., K Panelárně 172, 352 32 Otovice</v>
      </c>
      <c r="K8" s="307"/>
      <c r="L8" s="312"/>
    </row>
    <row r="9" spans="1:16" x14ac:dyDescent="0.25">
      <c r="A9" s="354"/>
      <c r="B9" s="355"/>
      <c r="C9" s="355"/>
      <c r="D9" s="355"/>
      <c r="E9" s="355"/>
      <c r="F9" s="355"/>
      <c r="G9" s="355"/>
      <c r="H9" s="358"/>
      <c r="I9" s="355"/>
      <c r="J9" s="355"/>
      <c r="K9" s="355"/>
      <c r="L9" s="356"/>
    </row>
    <row r="10" spans="1:16" x14ac:dyDescent="0.25">
      <c r="A10" s="51" t="s">
        <v>3</v>
      </c>
      <c r="B10" s="52" t="s">
        <v>3</v>
      </c>
      <c r="C10" s="366" t="s">
        <v>3</v>
      </c>
      <c r="D10" s="367"/>
      <c r="E10" s="367"/>
      <c r="F10" s="367"/>
      <c r="G10" s="367"/>
      <c r="H10" s="368"/>
      <c r="I10" s="362" t="s">
        <v>27</v>
      </c>
      <c r="J10" s="363"/>
      <c r="K10" s="364"/>
      <c r="L10" s="10" t="s">
        <v>28</v>
      </c>
    </row>
    <row r="11" spans="1:16" x14ac:dyDescent="0.25">
      <c r="A11" s="53" t="s">
        <v>20</v>
      </c>
      <c r="B11" s="54" t="s">
        <v>21</v>
      </c>
      <c r="C11" s="359" t="s">
        <v>22</v>
      </c>
      <c r="D11" s="360"/>
      <c r="E11" s="360"/>
      <c r="F11" s="360"/>
      <c r="G11" s="360"/>
      <c r="H11" s="361"/>
      <c r="I11" s="18" t="s">
        <v>35</v>
      </c>
      <c r="J11" s="19" t="s">
        <v>36</v>
      </c>
      <c r="K11" s="20" t="s">
        <v>37</v>
      </c>
      <c r="L11" s="21" t="s">
        <v>37</v>
      </c>
    </row>
    <row r="12" spans="1:16" x14ac:dyDescent="0.25">
      <c r="A12" s="55" t="s">
        <v>53</v>
      </c>
      <c r="B12" s="56" t="s">
        <v>54</v>
      </c>
      <c r="C12" s="365" t="s">
        <v>55</v>
      </c>
      <c r="D12" s="365"/>
      <c r="E12" s="365"/>
      <c r="F12" s="365"/>
      <c r="G12" s="365"/>
      <c r="H12" s="365"/>
      <c r="I12" s="57">
        <f>ROUND('Stavební rozpočet'!J12,2)</f>
        <v>0</v>
      </c>
      <c r="J12" s="57">
        <f>ROUND('Stavební rozpočet'!K12,2)</f>
        <v>0</v>
      </c>
      <c r="K12" s="57">
        <f>ROUND('Stavební rozpočet'!L12,2)</f>
        <v>0</v>
      </c>
      <c r="L12" s="58">
        <f>'Stavební rozpočet'!O12</f>
        <v>16.103999999999999</v>
      </c>
      <c r="M12" s="59" t="s">
        <v>553</v>
      </c>
      <c r="N12" s="31">
        <f t="shared" ref="N12:N45" si="0">IF(M12="F",0,K12)</f>
        <v>0</v>
      </c>
      <c r="O12" s="3" t="s">
        <v>53</v>
      </c>
      <c r="P12" s="31">
        <f t="shared" ref="P12:P45" si="1">IF(M12="T",0,K12)</f>
        <v>0</v>
      </c>
    </row>
    <row r="13" spans="1:16" x14ac:dyDescent="0.25">
      <c r="A13" s="2" t="s">
        <v>53</v>
      </c>
      <c r="B13" s="3" t="s">
        <v>73</v>
      </c>
      <c r="C13" s="307" t="s">
        <v>74</v>
      </c>
      <c r="D13" s="307"/>
      <c r="E13" s="307"/>
      <c r="F13" s="307"/>
      <c r="G13" s="307"/>
      <c r="H13" s="307"/>
      <c r="I13" s="31">
        <f>ROUND('Stavební rozpočet'!J23,2)</f>
        <v>0</v>
      </c>
      <c r="J13" s="31">
        <f>ROUND('Stavební rozpočet'!K23,2)</f>
        <v>0</v>
      </c>
      <c r="K13" s="31">
        <f>ROUND('Stavební rozpočet'!L23,2)</f>
        <v>0</v>
      </c>
      <c r="L13" s="60">
        <f>'Stavební rozpočet'!O23</f>
        <v>0</v>
      </c>
      <c r="M13" s="59" t="s">
        <v>553</v>
      </c>
      <c r="N13" s="31">
        <f t="shared" si="0"/>
        <v>0</v>
      </c>
      <c r="O13" s="3" t="s">
        <v>53</v>
      </c>
      <c r="P13" s="31">
        <f t="shared" si="1"/>
        <v>0</v>
      </c>
    </row>
    <row r="14" spans="1:16" x14ac:dyDescent="0.25">
      <c r="A14" s="2" t="s">
        <v>53</v>
      </c>
      <c r="B14" s="3" t="s">
        <v>80</v>
      </c>
      <c r="C14" s="307" t="s">
        <v>81</v>
      </c>
      <c r="D14" s="307"/>
      <c r="E14" s="307"/>
      <c r="F14" s="307"/>
      <c r="G14" s="307"/>
      <c r="H14" s="307"/>
      <c r="I14" s="31">
        <f>ROUND('Stavební rozpočet'!J26,2)</f>
        <v>0</v>
      </c>
      <c r="J14" s="31">
        <f>ROUND('Stavební rozpočet'!K26,2)</f>
        <v>0</v>
      </c>
      <c r="K14" s="31">
        <f>ROUND('Stavební rozpočet'!L26,2)</f>
        <v>0</v>
      </c>
      <c r="L14" s="60">
        <f>'Stavební rozpočet'!O26</f>
        <v>0</v>
      </c>
      <c r="M14" s="59" t="s">
        <v>553</v>
      </c>
      <c r="N14" s="31">
        <f t="shared" si="0"/>
        <v>0</v>
      </c>
      <c r="O14" s="3" t="s">
        <v>53</v>
      </c>
      <c r="P14" s="31">
        <f t="shared" si="1"/>
        <v>0</v>
      </c>
    </row>
    <row r="15" spans="1:16" x14ac:dyDescent="0.25">
      <c r="A15" s="2" t="s">
        <v>53</v>
      </c>
      <c r="B15" s="3" t="s">
        <v>90</v>
      </c>
      <c r="C15" s="307" t="s">
        <v>91</v>
      </c>
      <c r="D15" s="307"/>
      <c r="E15" s="307"/>
      <c r="F15" s="307"/>
      <c r="G15" s="307"/>
      <c r="H15" s="307"/>
      <c r="I15" s="31">
        <f>ROUND('Stavební rozpočet'!J34,2)</f>
        <v>0</v>
      </c>
      <c r="J15" s="31">
        <f>ROUND('Stavební rozpočet'!K34,2)</f>
        <v>0</v>
      </c>
      <c r="K15" s="31">
        <f>ROUND('Stavební rozpočet'!L34,2)</f>
        <v>0</v>
      </c>
      <c r="L15" s="60">
        <f>'Stavební rozpočet'!O34</f>
        <v>0</v>
      </c>
      <c r="M15" s="59" t="s">
        <v>553</v>
      </c>
      <c r="N15" s="31">
        <f t="shared" si="0"/>
        <v>0</v>
      </c>
      <c r="O15" s="3" t="s">
        <v>53</v>
      </c>
      <c r="P15" s="31">
        <f t="shared" si="1"/>
        <v>0</v>
      </c>
    </row>
    <row r="16" spans="1:16" x14ac:dyDescent="0.25">
      <c r="A16" s="2" t="s">
        <v>53</v>
      </c>
      <c r="B16" s="3" t="s">
        <v>98</v>
      </c>
      <c r="C16" s="307" t="s">
        <v>99</v>
      </c>
      <c r="D16" s="307"/>
      <c r="E16" s="307"/>
      <c r="F16" s="307"/>
      <c r="G16" s="307"/>
      <c r="H16" s="307"/>
      <c r="I16" s="31">
        <f>ROUND('Stavební rozpočet'!J38,2)</f>
        <v>0</v>
      </c>
      <c r="J16" s="31">
        <f>ROUND('Stavební rozpočet'!K38,2)</f>
        <v>0</v>
      </c>
      <c r="K16" s="31">
        <f>ROUND('Stavební rozpočet'!L38,2)</f>
        <v>0</v>
      </c>
      <c r="L16" s="60">
        <f>'Stavební rozpočet'!O38</f>
        <v>0</v>
      </c>
      <c r="M16" s="59" t="s">
        <v>553</v>
      </c>
      <c r="N16" s="31">
        <f t="shared" si="0"/>
        <v>0</v>
      </c>
      <c r="O16" s="3" t="s">
        <v>53</v>
      </c>
      <c r="P16" s="31">
        <f t="shared" si="1"/>
        <v>0</v>
      </c>
    </row>
    <row r="17" spans="1:16" x14ac:dyDescent="0.25">
      <c r="A17" s="2" t="s">
        <v>53</v>
      </c>
      <c r="B17" s="3" t="s">
        <v>105</v>
      </c>
      <c r="C17" s="307" t="s">
        <v>106</v>
      </c>
      <c r="D17" s="307"/>
      <c r="E17" s="307"/>
      <c r="F17" s="307"/>
      <c r="G17" s="307"/>
      <c r="H17" s="307"/>
      <c r="I17" s="31">
        <f>ROUND('Stavební rozpočet'!J41,2)</f>
        <v>0</v>
      </c>
      <c r="J17" s="31">
        <f>ROUND('Stavební rozpočet'!K41,2)</f>
        <v>0</v>
      </c>
      <c r="K17" s="31">
        <f>ROUND('Stavební rozpočet'!L41,2)</f>
        <v>0</v>
      </c>
      <c r="L17" s="60">
        <f>'Stavební rozpočet'!O41</f>
        <v>0</v>
      </c>
      <c r="M17" s="59" t="s">
        <v>553</v>
      </c>
      <c r="N17" s="31">
        <f t="shared" si="0"/>
        <v>0</v>
      </c>
      <c r="O17" s="3" t="s">
        <v>53</v>
      </c>
      <c r="P17" s="31">
        <f t="shared" si="1"/>
        <v>0</v>
      </c>
    </row>
    <row r="18" spans="1:16" x14ac:dyDescent="0.25">
      <c r="A18" s="2" t="s">
        <v>53</v>
      </c>
      <c r="B18" s="3" t="s">
        <v>111</v>
      </c>
      <c r="C18" s="307" t="s">
        <v>112</v>
      </c>
      <c r="D18" s="307"/>
      <c r="E18" s="307"/>
      <c r="F18" s="307"/>
      <c r="G18" s="307"/>
      <c r="H18" s="307"/>
      <c r="I18" s="31">
        <f>ROUND('Stavební rozpočet'!J46,2)</f>
        <v>0</v>
      </c>
      <c r="J18" s="31">
        <f>ROUND('Stavební rozpočet'!K46,2)</f>
        <v>0</v>
      </c>
      <c r="K18" s="31">
        <f>ROUND('Stavební rozpočet'!L46,2)</f>
        <v>0</v>
      </c>
      <c r="L18" s="60">
        <f>'Stavební rozpočet'!O46</f>
        <v>0</v>
      </c>
      <c r="M18" s="59" t="s">
        <v>553</v>
      </c>
      <c r="N18" s="31">
        <f t="shared" si="0"/>
        <v>0</v>
      </c>
      <c r="O18" s="3" t="s">
        <v>53</v>
      </c>
      <c r="P18" s="31">
        <f t="shared" si="1"/>
        <v>0</v>
      </c>
    </row>
    <row r="19" spans="1:16" x14ac:dyDescent="0.25">
      <c r="A19" s="2" t="s">
        <v>53</v>
      </c>
      <c r="B19" s="3" t="s">
        <v>116</v>
      </c>
      <c r="C19" s="307" t="s">
        <v>117</v>
      </c>
      <c r="D19" s="307"/>
      <c r="E19" s="307"/>
      <c r="F19" s="307"/>
      <c r="G19" s="307"/>
      <c r="H19" s="307"/>
      <c r="I19" s="31">
        <f>ROUND('Stavební rozpočet'!J48,2)</f>
        <v>0</v>
      </c>
      <c r="J19" s="31">
        <f>ROUND('Stavební rozpočet'!K48,2)</f>
        <v>0</v>
      </c>
      <c r="K19" s="31">
        <f>ROUND('Stavební rozpočet'!L48,2)</f>
        <v>0</v>
      </c>
      <c r="L19" s="60">
        <f>'Stavební rozpočet'!O48</f>
        <v>0.63120349440000001</v>
      </c>
      <c r="M19" s="59" t="s">
        <v>553</v>
      </c>
      <c r="N19" s="31">
        <f t="shared" si="0"/>
        <v>0</v>
      </c>
      <c r="O19" s="3" t="s">
        <v>53</v>
      </c>
      <c r="P19" s="31">
        <f t="shared" si="1"/>
        <v>0</v>
      </c>
    </row>
    <row r="20" spans="1:16" x14ac:dyDescent="0.25">
      <c r="A20" s="2" t="s">
        <v>53</v>
      </c>
      <c r="B20" s="3">
        <v>38</v>
      </c>
      <c r="C20" s="307" t="s">
        <v>663</v>
      </c>
      <c r="D20" s="307"/>
      <c r="E20" s="307"/>
      <c r="F20" s="307"/>
      <c r="G20" s="307"/>
      <c r="H20" s="307"/>
      <c r="I20" s="31">
        <f>ROUND('Stavební rozpočet'!J57,2)</f>
        <v>0</v>
      </c>
      <c r="J20" s="31">
        <f>ROUND('Stavební rozpočet'!K57,2)</f>
        <v>0</v>
      </c>
      <c r="K20" s="31">
        <f>ROUND('Stavební rozpočet'!L57,2)</f>
        <v>0</v>
      </c>
      <c r="L20" s="60">
        <f>'Stavební rozpočet'!O57</f>
        <v>0.95855000000000001</v>
      </c>
      <c r="M20" s="59" t="s">
        <v>553</v>
      </c>
      <c r="N20" s="31">
        <f t="shared" ref="N20" si="2">IF(M20="F",0,K20)</f>
        <v>0</v>
      </c>
      <c r="O20" s="3" t="s">
        <v>53</v>
      </c>
      <c r="P20" s="31">
        <f t="shared" ref="P20" si="3">IF(M20="T",0,K20)</f>
        <v>0</v>
      </c>
    </row>
    <row r="21" spans="1:16" x14ac:dyDescent="0.25">
      <c r="A21" s="2" t="s">
        <v>53</v>
      </c>
      <c r="B21" s="3" t="s">
        <v>130</v>
      </c>
      <c r="C21" s="307" t="s">
        <v>131</v>
      </c>
      <c r="D21" s="307"/>
      <c r="E21" s="307"/>
      <c r="F21" s="307"/>
      <c r="G21" s="307"/>
      <c r="H21" s="307"/>
      <c r="I21" s="31">
        <f>ROUND('Stavební rozpočet'!J60,2)</f>
        <v>0</v>
      </c>
      <c r="J21" s="31">
        <f>ROUND('Stavební rozpočet'!K60,2)</f>
        <v>0</v>
      </c>
      <c r="K21" s="31">
        <f>ROUND('Stavební rozpočet'!L60,2)</f>
        <v>0</v>
      </c>
      <c r="L21" s="60">
        <f>'Stavební rozpočet'!O60</f>
        <v>0.84083999999999992</v>
      </c>
      <c r="M21" s="59" t="s">
        <v>553</v>
      </c>
      <c r="N21" s="31">
        <f t="shared" si="0"/>
        <v>0</v>
      </c>
      <c r="O21" s="3" t="s">
        <v>53</v>
      </c>
      <c r="P21" s="31">
        <f t="shared" si="1"/>
        <v>0</v>
      </c>
    </row>
    <row r="22" spans="1:16" x14ac:dyDescent="0.25">
      <c r="A22" s="2" t="s">
        <v>53</v>
      </c>
      <c r="B22" s="3" t="s">
        <v>139</v>
      </c>
      <c r="C22" s="307" t="s">
        <v>140</v>
      </c>
      <c r="D22" s="307"/>
      <c r="E22" s="307"/>
      <c r="F22" s="307"/>
      <c r="G22" s="307"/>
      <c r="H22" s="307"/>
      <c r="I22" s="31">
        <f>ROUND('Stavební rozpočet'!J64,2)</f>
        <v>0</v>
      </c>
      <c r="J22" s="31">
        <f>ROUND('Stavební rozpočet'!K64,2)</f>
        <v>0</v>
      </c>
      <c r="K22" s="31">
        <f>ROUND('Stavební rozpočet'!L64,2)</f>
        <v>0</v>
      </c>
      <c r="L22" s="60">
        <f>'Stavební rozpočet'!O64</f>
        <v>58.665199999999999</v>
      </c>
      <c r="M22" s="59" t="s">
        <v>553</v>
      </c>
      <c r="N22" s="31">
        <f t="shared" si="0"/>
        <v>0</v>
      </c>
      <c r="O22" s="3" t="s">
        <v>53</v>
      </c>
      <c r="P22" s="31">
        <f t="shared" si="1"/>
        <v>0</v>
      </c>
    </row>
    <row r="23" spans="1:16" x14ac:dyDescent="0.25">
      <c r="A23" s="2" t="s">
        <v>53</v>
      </c>
      <c r="B23" s="3" t="s">
        <v>153</v>
      </c>
      <c r="C23" s="307" t="s">
        <v>154</v>
      </c>
      <c r="D23" s="307"/>
      <c r="E23" s="307"/>
      <c r="F23" s="307"/>
      <c r="G23" s="307"/>
      <c r="H23" s="307"/>
      <c r="I23" s="31">
        <f>ROUND('Stavební rozpočet'!J73,2)</f>
        <v>0</v>
      </c>
      <c r="J23" s="31">
        <f>ROUND('Stavební rozpočet'!K73,2)</f>
        <v>0</v>
      </c>
      <c r="K23" s="31">
        <f>ROUND('Stavební rozpočet'!L73,2)</f>
        <v>0</v>
      </c>
      <c r="L23" s="60">
        <f>'Stavební rozpočet'!O73</f>
        <v>5.1480100000000002</v>
      </c>
      <c r="M23" s="59" t="s">
        <v>553</v>
      </c>
      <c r="N23" s="31">
        <f t="shared" si="0"/>
        <v>0</v>
      </c>
      <c r="O23" s="3" t="s">
        <v>53</v>
      </c>
      <c r="P23" s="31">
        <f t="shared" si="1"/>
        <v>0</v>
      </c>
    </row>
    <row r="24" spans="1:16" x14ac:dyDescent="0.25">
      <c r="A24" s="2" t="s">
        <v>53</v>
      </c>
      <c r="B24" s="3" t="s">
        <v>159</v>
      </c>
      <c r="C24" s="307" t="s">
        <v>160</v>
      </c>
      <c r="D24" s="307"/>
      <c r="E24" s="307"/>
      <c r="F24" s="307"/>
      <c r="G24" s="307"/>
      <c r="H24" s="307"/>
      <c r="I24" s="31">
        <f>ROUND('Stavební rozpočet'!J78,2)</f>
        <v>0</v>
      </c>
      <c r="J24" s="31">
        <f>ROUND('Stavební rozpočet'!K78,2)</f>
        <v>0</v>
      </c>
      <c r="K24" s="31">
        <f>ROUND('Stavební rozpočet'!L78,2)</f>
        <v>0</v>
      </c>
      <c r="L24" s="60">
        <f>'Stavební rozpočet'!O78</f>
        <v>0</v>
      </c>
      <c r="M24" s="59" t="s">
        <v>553</v>
      </c>
      <c r="N24" s="31">
        <f t="shared" si="0"/>
        <v>0</v>
      </c>
      <c r="O24" s="3" t="s">
        <v>53</v>
      </c>
      <c r="P24" s="31">
        <f t="shared" si="1"/>
        <v>0</v>
      </c>
    </row>
    <row r="25" spans="1:16" x14ac:dyDescent="0.25">
      <c r="A25" s="2" t="s">
        <v>53</v>
      </c>
      <c r="B25" s="3" t="s">
        <v>167</v>
      </c>
      <c r="C25" s="307" t="s">
        <v>168</v>
      </c>
      <c r="D25" s="307"/>
      <c r="E25" s="307"/>
      <c r="F25" s="307"/>
      <c r="G25" s="307"/>
      <c r="H25" s="307"/>
      <c r="I25" s="31">
        <f>ROUND('Stavební rozpočet'!J83,2)</f>
        <v>0</v>
      </c>
      <c r="J25" s="31">
        <f>ROUND('Stavební rozpočet'!K83,2)</f>
        <v>0</v>
      </c>
      <c r="K25" s="31">
        <f>ROUND('Stavební rozpočet'!L83,2)</f>
        <v>0</v>
      </c>
      <c r="L25" s="60">
        <f>'Stavební rozpočet'!O83</f>
        <v>14.586924999999999</v>
      </c>
      <c r="M25" s="59" t="s">
        <v>553</v>
      </c>
      <c r="N25" s="31">
        <f t="shared" si="0"/>
        <v>0</v>
      </c>
      <c r="O25" s="3" t="s">
        <v>53</v>
      </c>
      <c r="P25" s="31">
        <f t="shared" si="1"/>
        <v>0</v>
      </c>
    </row>
    <row r="26" spans="1:16" x14ac:dyDescent="0.25">
      <c r="A26" s="2" t="s">
        <v>53</v>
      </c>
      <c r="B26" s="3" t="s">
        <v>173</v>
      </c>
      <c r="C26" s="307" t="s">
        <v>174</v>
      </c>
      <c r="D26" s="307"/>
      <c r="E26" s="307"/>
      <c r="F26" s="307"/>
      <c r="G26" s="307"/>
      <c r="H26" s="307"/>
      <c r="I26" s="31">
        <f>ROUND('Stavební rozpočet'!J86,2)</f>
        <v>0</v>
      </c>
      <c r="J26" s="31">
        <f>ROUND('Stavební rozpočet'!K86,2)</f>
        <v>0</v>
      </c>
      <c r="K26" s="31">
        <f>ROUND('Stavební rozpočet'!L86,2)</f>
        <v>0</v>
      </c>
      <c r="L26" s="60">
        <f>'Stavební rozpočet'!O86</f>
        <v>0.67776075000000002</v>
      </c>
      <c r="M26" s="59" t="s">
        <v>553</v>
      </c>
      <c r="N26" s="31">
        <f t="shared" si="0"/>
        <v>0</v>
      </c>
      <c r="O26" s="3" t="s">
        <v>53</v>
      </c>
      <c r="P26" s="31">
        <f t="shared" si="1"/>
        <v>0</v>
      </c>
    </row>
    <row r="27" spans="1:16" x14ac:dyDescent="0.25">
      <c r="A27" s="2" t="s">
        <v>53</v>
      </c>
      <c r="B27" s="3" t="s">
        <v>186</v>
      </c>
      <c r="C27" s="307" t="s">
        <v>187</v>
      </c>
      <c r="D27" s="307"/>
      <c r="E27" s="307"/>
      <c r="F27" s="307"/>
      <c r="G27" s="307"/>
      <c r="H27" s="307"/>
      <c r="I27" s="31">
        <f>ROUND('Stavební rozpočet'!J92,2)</f>
        <v>0</v>
      </c>
      <c r="J27" s="31">
        <f>ROUND('Stavební rozpočet'!K92,2)</f>
        <v>0</v>
      </c>
      <c r="K27" s="31">
        <f>ROUND('Stavební rozpočet'!L92,2)</f>
        <v>0</v>
      </c>
      <c r="L27" s="60">
        <f>'Stavební rozpočet'!O92</f>
        <v>20.862408961960003</v>
      </c>
      <c r="M27" s="59" t="s">
        <v>553</v>
      </c>
      <c r="N27" s="31">
        <f t="shared" si="0"/>
        <v>0</v>
      </c>
      <c r="O27" s="3" t="s">
        <v>53</v>
      </c>
      <c r="P27" s="31">
        <f t="shared" si="1"/>
        <v>0</v>
      </c>
    </row>
    <row r="28" spans="1:16" x14ac:dyDescent="0.25">
      <c r="A28" s="2" t="s">
        <v>53</v>
      </c>
      <c r="B28" s="3" t="s">
        <v>218</v>
      </c>
      <c r="C28" s="307" t="s">
        <v>219</v>
      </c>
      <c r="D28" s="307"/>
      <c r="E28" s="307"/>
      <c r="F28" s="307"/>
      <c r="G28" s="307"/>
      <c r="H28" s="307"/>
      <c r="I28" s="31">
        <f>ROUND('Stavební rozpočet'!J135,2)</f>
        <v>0</v>
      </c>
      <c r="J28" s="31">
        <f>ROUND('Stavební rozpočet'!K135,2)</f>
        <v>0</v>
      </c>
      <c r="K28" s="31">
        <f>ROUND('Stavební rozpočet'!L135,2)</f>
        <v>0</v>
      </c>
      <c r="L28" s="60">
        <f>'Stavební rozpočet'!O135</f>
        <v>0</v>
      </c>
      <c r="M28" s="59" t="s">
        <v>553</v>
      </c>
      <c r="N28" s="31">
        <f t="shared" si="0"/>
        <v>0</v>
      </c>
      <c r="O28" s="3" t="s">
        <v>53</v>
      </c>
      <c r="P28" s="31">
        <f t="shared" si="1"/>
        <v>0</v>
      </c>
    </row>
    <row r="29" spans="1:16" x14ac:dyDescent="0.25">
      <c r="A29" s="2" t="s">
        <v>53</v>
      </c>
      <c r="B29" s="3" t="s">
        <v>224</v>
      </c>
      <c r="C29" s="307" t="s">
        <v>225</v>
      </c>
      <c r="D29" s="307"/>
      <c r="E29" s="307"/>
      <c r="F29" s="307"/>
      <c r="G29" s="307"/>
      <c r="H29" s="307"/>
      <c r="I29" s="31">
        <f>ROUND('Stavební rozpočet'!J139,2)</f>
        <v>0</v>
      </c>
      <c r="J29" s="31">
        <f>ROUND('Stavební rozpočet'!K139,2)</f>
        <v>0</v>
      </c>
      <c r="K29" s="31">
        <f>ROUND('Stavební rozpočet'!L139,2)</f>
        <v>0</v>
      </c>
      <c r="L29" s="60">
        <f>'Stavební rozpočet'!O139</f>
        <v>0.18393999999999999</v>
      </c>
      <c r="M29" s="59" t="s">
        <v>553</v>
      </c>
      <c r="N29" s="31">
        <f t="shared" si="0"/>
        <v>0</v>
      </c>
      <c r="O29" s="3" t="s">
        <v>53</v>
      </c>
      <c r="P29" s="31">
        <f t="shared" si="1"/>
        <v>0</v>
      </c>
    </row>
    <row r="30" spans="1:16" x14ac:dyDescent="0.25">
      <c r="A30" s="2" t="s">
        <v>53</v>
      </c>
      <c r="B30" s="3" t="s">
        <v>230</v>
      </c>
      <c r="C30" s="307" t="s">
        <v>231</v>
      </c>
      <c r="D30" s="307"/>
      <c r="E30" s="307"/>
      <c r="F30" s="307"/>
      <c r="G30" s="307"/>
      <c r="H30" s="307"/>
      <c r="I30" s="31">
        <f>ROUND('Stavební rozpočet'!J143,2)</f>
        <v>0</v>
      </c>
      <c r="J30" s="31">
        <f>ROUND('Stavební rozpočet'!K143,2)</f>
        <v>0</v>
      </c>
      <c r="K30" s="31">
        <f>ROUND('Stavební rozpočet'!L143,2)</f>
        <v>0</v>
      </c>
      <c r="L30" s="60">
        <f>'Stavební rozpočet'!O143</f>
        <v>0.14026</v>
      </c>
      <c r="M30" s="59" t="s">
        <v>553</v>
      </c>
      <c r="N30" s="31">
        <f t="shared" si="0"/>
        <v>0</v>
      </c>
      <c r="O30" s="3" t="s">
        <v>53</v>
      </c>
      <c r="P30" s="31">
        <f t="shared" si="1"/>
        <v>0</v>
      </c>
    </row>
    <row r="31" spans="1:16" x14ac:dyDescent="0.25">
      <c r="A31" s="2" t="s">
        <v>53</v>
      </c>
      <c r="B31" s="3" t="s">
        <v>238</v>
      </c>
      <c r="C31" s="307" t="s">
        <v>239</v>
      </c>
      <c r="D31" s="307"/>
      <c r="E31" s="307"/>
      <c r="F31" s="307"/>
      <c r="G31" s="307"/>
      <c r="H31" s="307"/>
      <c r="I31" s="31">
        <f>ROUND('Stavební rozpočet'!J151,2)</f>
        <v>0</v>
      </c>
      <c r="J31" s="31">
        <f>ROUND('Stavební rozpočet'!K151,2)</f>
        <v>0</v>
      </c>
      <c r="K31" s="31">
        <f>ROUND('Stavební rozpočet'!L151,2)</f>
        <v>0</v>
      </c>
      <c r="L31" s="60">
        <f>'Stavební rozpočet'!O151</f>
        <v>7.392E-2</v>
      </c>
      <c r="M31" s="59" t="s">
        <v>553</v>
      </c>
      <c r="N31" s="31">
        <f t="shared" si="0"/>
        <v>0</v>
      </c>
      <c r="O31" s="3" t="s">
        <v>53</v>
      </c>
      <c r="P31" s="31">
        <f t="shared" si="1"/>
        <v>0</v>
      </c>
    </row>
    <row r="32" spans="1:16" x14ac:dyDescent="0.25">
      <c r="A32" s="2" t="s">
        <v>53</v>
      </c>
      <c r="B32" s="3" t="s">
        <v>247</v>
      </c>
      <c r="C32" s="307" t="s">
        <v>248</v>
      </c>
      <c r="D32" s="307"/>
      <c r="E32" s="307"/>
      <c r="F32" s="307"/>
      <c r="G32" s="307"/>
      <c r="H32" s="307"/>
      <c r="I32" s="31">
        <f>ROUND('Stavební rozpočet'!J155,2)</f>
        <v>0</v>
      </c>
      <c r="J32" s="31">
        <f>ROUND('Stavební rozpočet'!K155,2)</f>
        <v>0</v>
      </c>
      <c r="K32" s="31">
        <f>ROUND('Stavební rozpočet'!L155,2)</f>
        <v>0</v>
      </c>
      <c r="L32" s="60">
        <f>'Stavební rozpočet'!O155</f>
        <v>27.11172564</v>
      </c>
      <c r="M32" s="59" t="s">
        <v>553</v>
      </c>
      <c r="N32" s="31">
        <f t="shared" si="0"/>
        <v>0</v>
      </c>
      <c r="O32" s="3" t="s">
        <v>53</v>
      </c>
      <c r="P32" s="31">
        <f t="shared" si="1"/>
        <v>0</v>
      </c>
    </row>
    <row r="33" spans="1:16" x14ac:dyDescent="0.25">
      <c r="A33" s="2" t="s">
        <v>53</v>
      </c>
      <c r="B33" s="3" t="s">
        <v>272</v>
      </c>
      <c r="C33" s="307" t="s">
        <v>273</v>
      </c>
      <c r="D33" s="307"/>
      <c r="E33" s="307"/>
      <c r="F33" s="307"/>
      <c r="G33" s="307"/>
      <c r="H33" s="307"/>
      <c r="I33" s="31">
        <f>ROUND('Stavební rozpočet'!J179,2)</f>
        <v>0</v>
      </c>
      <c r="J33" s="31">
        <f>ROUND('Stavební rozpočet'!K179,2)</f>
        <v>0</v>
      </c>
      <c r="K33" s="31">
        <f>ROUND('Stavební rozpočet'!L179,2)</f>
        <v>0</v>
      </c>
      <c r="L33" s="60">
        <f>'Stavební rozpočet'!O179</f>
        <v>5.4211706720000009E-2</v>
      </c>
      <c r="M33" s="59" t="s">
        <v>553</v>
      </c>
      <c r="N33" s="31">
        <f t="shared" si="0"/>
        <v>0</v>
      </c>
      <c r="O33" s="3" t="s">
        <v>53</v>
      </c>
      <c r="P33" s="31">
        <f t="shared" si="1"/>
        <v>0</v>
      </c>
    </row>
    <row r="34" spans="1:16" x14ac:dyDescent="0.25">
      <c r="A34" s="2" t="s">
        <v>53</v>
      </c>
      <c r="B34" s="3" t="s">
        <v>282</v>
      </c>
      <c r="C34" s="307" t="s">
        <v>283</v>
      </c>
      <c r="D34" s="307"/>
      <c r="E34" s="307"/>
      <c r="F34" s="307"/>
      <c r="G34" s="307"/>
      <c r="H34" s="307"/>
      <c r="I34" s="31">
        <f>ROUND('Stavební rozpočet'!J198,2)</f>
        <v>0</v>
      </c>
      <c r="J34" s="31">
        <f>ROUND('Stavební rozpočet'!K198,2)</f>
        <v>0</v>
      </c>
      <c r="K34" s="31">
        <f>ROUND('Stavební rozpočet'!L198,2)</f>
        <v>0</v>
      </c>
      <c r="L34" s="60">
        <f>'Stavební rozpočet'!O198</f>
        <v>9.5240000000000005E-2</v>
      </c>
      <c r="M34" s="59" t="s">
        <v>553</v>
      </c>
      <c r="N34" s="31">
        <f t="shared" si="0"/>
        <v>0</v>
      </c>
      <c r="O34" s="3" t="s">
        <v>53</v>
      </c>
      <c r="P34" s="31">
        <f t="shared" si="1"/>
        <v>0</v>
      </c>
    </row>
    <row r="35" spans="1:16" x14ac:dyDescent="0.25">
      <c r="A35" s="2" t="s">
        <v>53</v>
      </c>
      <c r="B35" s="3" t="s">
        <v>289</v>
      </c>
      <c r="C35" s="307" t="s">
        <v>290</v>
      </c>
      <c r="D35" s="307"/>
      <c r="E35" s="307"/>
      <c r="F35" s="307"/>
      <c r="G35" s="307"/>
      <c r="H35" s="307"/>
      <c r="I35" s="31">
        <f>ROUND('Stavební rozpočet'!J201,2)</f>
        <v>0</v>
      </c>
      <c r="J35" s="31">
        <f>ROUND('Stavební rozpočet'!K201,2)</f>
        <v>0</v>
      </c>
      <c r="K35" s="31">
        <f>ROUND('Stavební rozpočet'!L201,2)</f>
        <v>0</v>
      </c>
      <c r="L35" s="60">
        <f>'Stavební rozpočet'!O201</f>
        <v>0</v>
      </c>
      <c r="M35" s="59" t="s">
        <v>553</v>
      </c>
      <c r="N35" s="31">
        <f t="shared" si="0"/>
        <v>0</v>
      </c>
      <c r="O35" s="3" t="s">
        <v>53</v>
      </c>
      <c r="P35" s="31">
        <f t="shared" si="1"/>
        <v>0</v>
      </c>
    </row>
    <row r="36" spans="1:16" x14ac:dyDescent="0.25">
      <c r="A36" s="2" t="s">
        <v>53</v>
      </c>
      <c r="B36" s="3" t="s">
        <v>302</v>
      </c>
      <c r="C36" s="307" t="s">
        <v>303</v>
      </c>
      <c r="D36" s="307"/>
      <c r="E36" s="307"/>
      <c r="F36" s="307"/>
      <c r="G36" s="307"/>
      <c r="H36" s="307"/>
      <c r="I36" s="31">
        <f>ROUND('Stavební rozpočet'!J207,2)</f>
        <v>0</v>
      </c>
      <c r="J36" s="31">
        <f>ROUND('Stavební rozpočet'!K207,2)</f>
        <v>0</v>
      </c>
      <c r="K36" s="31">
        <f>ROUND('Stavební rozpočet'!L207,2)</f>
        <v>0</v>
      </c>
      <c r="L36" s="60">
        <f>'Stavební rozpočet'!O207</f>
        <v>1.7491500000000002</v>
      </c>
      <c r="M36" s="59" t="s">
        <v>553</v>
      </c>
      <c r="N36" s="31">
        <f t="shared" si="0"/>
        <v>0</v>
      </c>
      <c r="O36" s="3" t="s">
        <v>53</v>
      </c>
      <c r="P36" s="31">
        <f t="shared" si="1"/>
        <v>0</v>
      </c>
    </row>
    <row r="37" spans="1:16" x14ac:dyDescent="0.25">
      <c r="A37" s="2" t="s">
        <v>53</v>
      </c>
      <c r="B37" s="3" t="s">
        <v>310</v>
      </c>
      <c r="C37" s="307" t="s">
        <v>311</v>
      </c>
      <c r="D37" s="307"/>
      <c r="E37" s="307"/>
      <c r="F37" s="307"/>
      <c r="G37" s="307"/>
      <c r="H37" s="307"/>
      <c r="I37" s="31">
        <f>ROUND('Stavební rozpočet'!J214,2)</f>
        <v>0</v>
      </c>
      <c r="J37" s="31">
        <f>ROUND('Stavební rozpočet'!K214,2)</f>
        <v>0</v>
      </c>
      <c r="K37" s="31">
        <f>ROUND('Stavební rozpočet'!L214,2)</f>
        <v>0</v>
      </c>
      <c r="L37" s="60">
        <f>'Stavební rozpočet'!O214</f>
        <v>4.1483070000000009</v>
      </c>
      <c r="M37" s="59" t="s">
        <v>553</v>
      </c>
      <c r="N37" s="31">
        <f t="shared" si="0"/>
        <v>0</v>
      </c>
      <c r="O37" s="3" t="s">
        <v>53</v>
      </c>
      <c r="P37" s="31">
        <f t="shared" si="1"/>
        <v>0</v>
      </c>
    </row>
    <row r="38" spans="1:16" x14ac:dyDescent="0.25">
      <c r="A38" s="2" t="s">
        <v>53</v>
      </c>
      <c r="B38" s="3" t="s">
        <v>318</v>
      </c>
      <c r="C38" s="307" t="s">
        <v>319</v>
      </c>
      <c r="D38" s="307"/>
      <c r="E38" s="307"/>
      <c r="F38" s="307"/>
      <c r="G38" s="307"/>
      <c r="H38" s="307"/>
      <c r="I38" s="31">
        <f>ROUND('Stavební rozpočet'!J220,2)</f>
        <v>0</v>
      </c>
      <c r="J38" s="31">
        <f>ROUND('Stavební rozpočet'!K220,2)</f>
        <v>0</v>
      </c>
      <c r="K38" s="31">
        <f>ROUND('Stavební rozpočet'!L220,2)</f>
        <v>0</v>
      </c>
      <c r="L38" s="60">
        <f>'Stavební rozpočet'!O220</f>
        <v>1.7002000000000003E-2</v>
      </c>
      <c r="M38" s="59" t="s">
        <v>553</v>
      </c>
      <c r="N38" s="31">
        <f t="shared" si="0"/>
        <v>0</v>
      </c>
      <c r="O38" s="3" t="s">
        <v>53</v>
      </c>
      <c r="P38" s="31">
        <f t="shared" si="1"/>
        <v>0</v>
      </c>
    </row>
    <row r="39" spans="1:16" x14ac:dyDescent="0.25">
      <c r="A39" s="2" t="s">
        <v>53</v>
      </c>
      <c r="B39" s="3" t="s">
        <v>337</v>
      </c>
      <c r="C39" s="307" t="s">
        <v>338</v>
      </c>
      <c r="D39" s="307"/>
      <c r="E39" s="307"/>
      <c r="F39" s="307"/>
      <c r="G39" s="307"/>
      <c r="H39" s="307"/>
      <c r="I39" s="31">
        <f>ROUND('Stavební rozpočet'!J233,2)</f>
        <v>0</v>
      </c>
      <c r="J39" s="31">
        <f>ROUND('Stavební rozpočet'!K233,2)</f>
        <v>0</v>
      </c>
      <c r="K39" s="31">
        <f>ROUND('Stavební rozpočet'!L233,2)</f>
        <v>0</v>
      </c>
      <c r="L39" s="60">
        <f>'Stavební rozpočet'!O233</f>
        <v>9.5864115900000009</v>
      </c>
      <c r="M39" s="59" t="s">
        <v>553</v>
      </c>
      <c r="N39" s="31">
        <f t="shared" si="0"/>
        <v>0</v>
      </c>
      <c r="O39" s="3" t="s">
        <v>53</v>
      </c>
      <c r="P39" s="31">
        <f t="shared" si="1"/>
        <v>0</v>
      </c>
    </row>
    <row r="40" spans="1:16" x14ac:dyDescent="0.25">
      <c r="A40" s="2" t="s">
        <v>53</v>
      </c>
      <c r="B40" s="3" t="s">
        <v>358</v>
      </c>
      <c r="C40" s="307" t="s">
        <v>359</v>
      </c>
      <c r="D40" s="307"/>
      <c r="E40" s="307"/>
      <c r="F40" s="307"/>
      <c r="G40" s="307"/>
      <c r="H40" s="307"/>
      <c r="I40" s="31">
        <f>ROUND('Stavební rozpočet'!J254,2)</f>
        <v>0</v>
      </c>
      <c r="J40" s="31">
        <f>ROUND('Stavební rozpočet'!K254,2)</f>
        <v>0</v>
      </c>
      <c r="K40" s="31">
        <f>ROUND('Stavební rozpočet'!L254,2)</f>
        <v>0</v>
      </c>
      <c r="L40" s="60">
        <f>'Stavební rozpočet'!O254</f>
        <v>0</v>
      </c>
      <c r="M40" s="59" t="s">
        <v>553</v>
      </c>
      <c r="N40" s="31">
        <f t="shared" si="0"/>
        <v>0</v>
      </c>
      <c r="O40" s="3" t="s">
        <v>53</v>
      </c>
      <c r="P40" s="31">
        <f t="shared" si="1"/>
        <v>0</v>
      </c>
    </row>
    <row r="41" spans="1:16" x14ac:dyDescent="0.25">
      <c r="A41" s="2" t="s">
        <v>53</v>
      </c>
      <c r="B41" s="3" t="s">
        <v>363</v>
      </c>
      <c r="C41" s="307" t="s">
        <v>364</v>
      </c>
      <c r="D41" s="307"/>
      <c r="E41" s="307"/>
      <c r="F41" s="307"/>
      <c r="G41" s="307"/>
      <c r="H41" s="307"/>
      <c r="I41" s="31">
        <f>ROUND('Stavební rozpočet'!J256,2)</f>
        <v>0</v>
      </c>
      <c r="J41" s="31">
        <f>ROUND('Stavební rozpočet'!K256,2)</f>
        <v>0</v>
      </c>
      <c r="K41" s="31">
        <f>ROUND('Stavební rozpočet'!L256,2)</f>
        <v>0</v>
      </c>
      <c r="L41" s="60">
        <f>'Stavební rozpočet'!O256</f>
        <v>0</v>
      </c>
      <c r="M41" s="59" t="s">
        <v>553</v>
      </c>
      <c r="N41" s="31">
        <f t="shared" si="0"/>
        <v>0</v>
      </c>
      <c r="O41" s="3" t="s">
        <v>53</v>
      </c>
      <c r="P41" s="31">
        <f t="shared" si="1"/>
        <v>0</v>
      </c>
    </row>
    <row r="42" spans="1:16" x14ac:dyDescent="0.25">
      <c r="A42" s="2" t="s">
        <v>53</v>
      </c>
      <c r="B42" s="3" t="s">
        <v>383</v>
      </c>
      <c r="C42" s="307" t="s">
        <v>384</v>
      </c>
      <c r="D42" s="307"/>
      <c r="E42" s="307"/>
      <c r="F42" s="307"/>
      <c r="G42" s="307"/>
      <c r="H42" s="307"/>
      <c r="I42" s="31">
        <f>ROUND('Stavební rozpočet'!J299,2)</f>
        <v>0</v>
      </c>
      <c r="J42" s="31">
        <f>ROUND('Stavební rozpočet'!K299,2)</f>
        <v>0</v>
      </c>
      <c r="K42" s="31">
        <f>ROUND('Stavební rozpočet'!L299,2)</f>
        <v>0</v>
      </c>
      <c r="L42" s="60">
        <f>'Stavební rozpočet'!O299</f>
        <v>0</v>
      </c>
      <c r="M42" s="59" t="s">
        <v>553</v>
      </c>
      <c r="N42" s="31">
        <f t="shared" si="0"/>
        <v>0</v>
      </c>
      <c r="O42" s="3" t="s">
        <v>53</v>
      </c>
      <c r="P42" s="31">
        <f t="shared" si="1"/>
        <v>0</v>
      </c>
    </row>
    <row r="43" spans="1:16" x14ac:dyDescent="0.25">
      <c r="A43" s="2" t="s">
        <v>53</v>
      </c>
      <c r="B43" s="3" t="s">
        <v>388</v>
      </c>
      <c r="C43" s="307" t="s">
        <v>389</v>
      </c>
      <c r="D43" s="307"/>
      <c r="E43" s="307"/>
      <c r="F43" s="307"/>
      <c r="G43" s="307"/>
      <c r="H43" s="307"/>
      <c r="I43" s="31">
        <f>ROUND('Stavební rozpočet'!J301,2)</f>
        <v>0</v>
      </c>
      <c r="J43" s="31">
        <f>ROUND('Stavební rozpočet'!K301,2)</f>
        <v>0</v>
      </c>
      <c r="K43" s="31">
        <f>ROUND('Stavební rozpočet'!L301,2)</f>
        <v>0</v>
      </c>
      <c r="L43" s="60">
        <f>'Stavební rozpočet'!O301</f>
        <v>16.087975999999998</v>
      </c>
      <c r="M43" s="59" t="s">
        <v>553</v>
      </c>
      <c r="N43" s="31">
        <f t="shared" si="0"/>
        <v>0</v>
      </c>
      <c r="O43" s="3" t="s">
        <v>53</v>
      </c>
      <c r="P43" s="31">
        <f t="shared" si="1"/>
        <v>0</v>
      </c>
    </row>
    <row r="44" spans="1:16" x14ac:dyDescent="0.25">
      <c r="A44" s="2" t="s">
        <v>53</v>
      </c>
      <c r="B44" s="3" t="s">
        <v>514</v>
      </c>
      <c r="C44" s="307" t="s">
        <v>515</v>
      </c>
      <c r="D44" s="307"/>
      <c r="E44" s="307"/>
      <c r="F44" s="307"/>
      <c r="G44" s="307"/>
      <c r="H44" s="307"/>
      <c r="I44" s="31">
        <f>ROUND('Stavební rozpočet'!J433,2)</f>
        <v>0</v>
      </c>
      <c r="J44" s="31">
        <f>ROUND('Stavební rozpočet'!K433,2)</f>
        <v>0</v>
      </c>
      <c r="K44" s="31">
        <f>ROUND('Stavební rozpočet'!L433,2)</f>
        <v>0</v>
      </c>
      <c r="L44" s="60">
        <f>'Stavební rozpočet'!O433</f>
        <v>5.1194179999999987</v>
      </c>
      <c r="M44" s="59" t="s">
        <v>553</v>
      </c>
      <c r="N44" s="31">
        <f t="shared" si="0"/>
        <v>0</v>
      </c>
      <c r="O44" s="3" t="s">
        <v>53</v>
      </c>
      <c r="P44" s="31">
        <f t="shared" si="1"/>
        <v>0</v>
      </c>
    </row>
    <row r="45" spans="1:16" x14ac:dyDescent="0.25">
      <c r="A45" s="61" t="s">
        <v>53</v>
      </c>
      <c r="B45" s="62" t="s">
        <v>536</v>
      </c>
      <c r="C45" s="317" t="s">
        <v>537</v>
      </c>
      <c r="D45" s="317"/>
      <c r="E45" s="317"/>
      <c r="F45" s="317"/>
      <c r="G45" s="317"/>
      <c r="H45" s="317"/>
      <c r="I45" s="63">
        <f>ROUND('Stavební rozpočet'!J490,2)</f>
        <v>0</v>
      </c>
      <c r="J45" s="63">
        <f>ROUND('Stavební rozpočet'!K490,2)</f>
        <v>0</v>
      </c>
      <c r="K45" s="63">
        <f>ROUND('Stavební rozpočet'!L490,2)</f>
        <v>0</v>
      </c>
      <c r="L45" s="64">
        <f>'Stavební rozpočet'!O490</f>
        <v>139.42413119999998</v>
      </c>
      <c r="M45" s="59" t="s">
        <v>553</v>
      </c>
      <c r="N45" s="31">
        <f t="shared" si="0"/>
        <v>0</v>
      </c>
      <c r="O45" s="3" t="s">
        <v>53</v>
      </c>
      <c r="P45" s="31">
        <f t="shared" si="1"/>
        <v>0</v>
      </c>
    </row>
    <row r="46" spans="1:16" x14ac:dyDescent="0.25">
      <c r="I46" s="369" t="s">
        <v>550</v>
      </c>
      <c r="J46" s="369"/>
      <c r="K46" s="49">
        <f>ROUND(SUM(N12:N45),2)</f>
        <v>0</v>
      </c>
    </row>
    <row r="47" spans="1:16" x14ac:dyDescent="0.25">
      <c r="A47" s="50" t="s">
        <v>551</v>
      </c>
    </row>
    <row r="48" spans="1:16" ht="12.75" customHeight="1" x14ac:dyDescent="0.25">
      <c r="A48" s="310" t="s">
        <v>53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  <c r="L48" s="307"/>
    </row>
  </sheetData>
  <mergeCells count="64">
    <mergeCell ref="I46:J46"/>
    <mergeCell ref="A48:L48"/>
    <mergeCell ref="C41:H41"/>
    <mergeCell ref="C42:H42"/>
    <mergeCell ref="C43:H43"/>
    <mergeCell ref="C44:H44"/>
    <mergeCell ref="C45:H45"/>
    <mergeCell ref="C36:H36"/>
    <mergeCell ref="C37:H37"/>
    <mergeCell ref="C38:H38"/>
    <mergeCell ref="C39:H39"/>
    <mergeCell ref="C40:H40"/>
    <mergeCell ref="C31:H31"/>
    <mergeCell ref="C32:H32"/>
    <mergeCell ref="C33:H33"/>
    <mergeCell ref="C34:H34"/>
    <mergeCell ref="C35:H35"/>
    <mergeCell ref="C26:H26"/>
    <mergeCell ref="C27:H27"/>
    <mergeCell ref="C28:H28"/>
    <mergeCell ref="C29:H29"/>
    <mergeCell ref="C30:H30"/>
    <mergeCell ref="C21:H21"/>
    <mergeCell ref="C22:H22"/>
    <mergeCell ref="C23:H23"/>
    <mergeCell ref="C24:H24"/>
    <mergeCell ref="C25:H25"/>
    <mergeCell ref="I2:I3"/>
    <mergeCell ref="I4:I5"/>
    <mergeCell ref="I6:I7"/>
    <mergeCell ref="I8:I9"/>
    <mergeCell ref="H6:H7"/>
    <mergeCell ref="J4:L5"/>
    <mergeCell ref="J6:L7"/>
    <mergeCell ref="J8:L9"/>
    <mergeCell ref="C20:H20"/>
    <mergeCell ref="H8:H9"/>
    <mergeCell ref="C11:H11"/>
    <mergeCell ref="I10:K10"/>
    <mergeCell ref="C12:H12"/>
    <mergeCell ref="C13:H13"/>
    <mergeCell ref="C14:H14"/>
    <mergeCell ref="C10:H10"/>
    <mergeCell ref="C15:H15"/>
    <mergeCell ref="C16:H16"/>
    <mergeCell ref="C17:H17"/>
    <mergeCell ref="C18:H18"/>
    <mergeCell ref="C19:H1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J2:L3"/>
  </mergeCells>
  <printOptions horizontalCentered="1" gridLines="1"/>
  <pageMargins left="0.59055118110236227" right="0.59055118110236227" top="0.59055118110236227" bottom="0.59055118110236227" header="0" footer="0.39370078740157483"/>
  <pageSetup scale="71" orientation="landscape" r:id="rId1"/>
  <headerFooter>
    <oddHeader>&amp;R
KV-2225-G1-2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X507"/>
  <sheetViews>
    <sheetView tabSelected="1" zoomScaleNormal="100" workbookViewId="0">
      <pane ySplit="11" topLeftCell="A57" activePane="bottomLeft" state="frozen"/>
      <selection activeCell="J66" sqref="J66"/>
      <selection pane="bottomLeft" activeCell="D62" sqref="D62"/>
    </sheetView>
  </sheetViews>
  <sheetFormatPr defaultColWidth="12.140625" defaultRowHeight="15" customHeight="1" x14ac:dyDescent="0.25"/>
  <cols>
    <col min="1" max="1" width="4" customWidth="1"/>
    <col min="2" max="2" width="1.28515625" customWidth="1"/>
    <col min="3" max="3" width="17.85546875" customWidth="1"/>
    <col min="4" max="4" width="80.85546875" style="90" customWidth="1"/>
    <col min="5" max="5" width="2.140625" customWidth="1"/>
    <col min="6" max="6" width="7.42578125" customWidth="1"/>
    <col min="7" max="7" width="12.85546875" customWidth="1"/>
    <col min="8" max="8" width="12.7109375" bestFit="1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18" max="21" width="12.42578125" customWidth="1"/>
    <col min="22" max="25" width="12.42578125" bestFit="1" customWidth="1"/>
    <col min="26" max="27" width="0" hidden="1" customWidth="1"/>
    <col min="28" max="28" width="12.42578125" hidden="1" customWidth="1"/>
    <col min="29" max="40" width="0" hidden="1" customWidth="1"/>
    <col min="41" max="41" width="18" hidden="1" customWidth="1"/>
    <col min="42" max="49" width="0" hidden="1" customWidth="1"/>
    <col min="50" max="50" width="12.140625" hidden="1" customWidth="1"/>
    <col min="51" max="75" width="0" hidden="1" customWidth="1"/>
    <col min="76" max="76" width="78.5703125" hidden="1" customWidth="1"/>
  </cols>
  <sheetData>
    <row r="1" spans="1:76" ht="54.75" customHeight="1" x14ac:dyDescent="0.25">
      <c r="A1" s="303" t="s">
        <v>1195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304" t="s">
        <v>0</v>
      </c>
      <c r="B2" s="305"/>
      <c r="C2" s="305"/>
      <c r="D2" s="314" t="str">
        <f>Sr!A2</f>
        <v>Karlovy Vary, Výměna gravitačního řádu termominerální vody</v>
      </c>
      <c r="E2" s="315"/>
      <c r="F2" s="305" t="s">
        <v>2</v>
      </c>
      <c r="G2" s="305"/>
      <c r="H2" s="305" t="s">
        <v>3</v>
      </c>
      <c r="I2" s="309" t="s">
        <v>4</v>
      </c>
      <c r="J2" s="309" t="s">
        <v>5</v>
      </c>
      <c r="K2" s="305"/>
      <c r="L2" s="305"/>
      <c r="M2" s="305"/>
      <c r="N2" s="305"/>
      <c r="O2" s="305"/>
      <c r="P2" s="311"/>
      <c r="Y2" s="112"/>
      <c r="Z2" s="112"/>
      <c r="AB2" s="112"/>
      <c r="AC2" s="112"/>
      <c r="AD2" s="112"/>
      <c r="AE2" s="112"/>
      <c r="AF2" s="112"/>
      <c r="AG2" s="112"/>
    </row>
    <row r="3" spans="1:76" x14ac:dyDescent="0.25">
      <c r="A3" s="306"/>
      <c r="B3" s="307"/>
      <c r="C3" s="307"/>
      <c r="D3" s="316"/>
      <c r="E3" s="316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12"/>
      <c r="Y3" s="112"/>
    </row>
    <row r="4" spans="1:76" x14ac:dyDescent="0.25">
      <c r="A4" s="308" t="s">
        <v>6</v>
      </c>
      <c r="B4" s="307"/>
      <c r="C4" s="307"/>
      <c r="D4" s="310" t="s">
        <v>7</v>
      </c>
      <c r="E4" s="307"/>
      <c r="F4" s="307" t="s">
        <v>8</v>
      </c>
      <c r="G4" s="307"/>
      <c r="H4" s="307" t="s">
        <v>9</v>
      </c>
      <c r="I4" s="310" t="s">
        <v>10</v>
      </c>
      <c r="J4" s="310" t="s">
        <v>610</v>
      </c>
      <c r="K4" s="307"/>
      <c r="L4" s="307"/>
      <c r="M4" s="307"/>
      <c r="N4" s="307"/>
      <c r="O4" s="307"/>
      <c r="P4" s="312"/>
      <c r="Y4" s="112"/>
    </row>
    <row r="5" spans="1:76" x14ac:dyDescent="0.25">
      <c r="A5" s="306"/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12"/>
      <c r="R5" s="112"/>
      <c r="S5" s="112"/>
      <c r="T5" s="112"/>
      <c r="U5" s="112"/>
      <c r="Y5" s="112"/>
      <c r="Z5" s="112"/>
      <c r="AA5" s="112"/>
      <c r="AB5" s="112"/>
      <c r="AC5" s="112"/>
      <c r="AD5" s="112"/>
      <c r="AE5" s="112"/>
      <c r="AF5" s="112"/>
      <c r="AG5" s="112"/>
      <c r="AH5" s="112">
        <f t="shared" ref="AH5:AL5" si="0">SUM(AH11:AH509)</f>
        <v>0</v>
      </c>
      <c r="AI5" s="112">
        <f t="shared" si="0"/>
        <v>0</v>
      </c>
      <c r="AJ5" s="112">
        <f t="shared" si="0"/>
        <v>0</v>
      </c>
      <c r="AK5" s="112">
        <f t="shared" si="0"/>
        <v>0</v>
      </c>
      <c r="AL5" s="112">
        <f t="shared" si="0"/>
        <v>0</v>
      </c>
    </row>
    <row r="6" spans="1:76" x14ac:dyDescent="0.25">
      <c r="A6" s="308" t="s">
        <v>11</v>
      </c>
      <c r="B6" s="307"/>
      <c r="C6" s="307"/>
      <c r="D6" s="310" t="s">
        <v>1</v>
      </c>
      <c r="E6" s="307"/>
      <c r="F6" s="307" t="s">
        <v>12</v>
      </c>
      <c r="G6" s="307"/>
      <c r="H6" s="307" t="s">
        <v>3</v>
      </c>
      <c r="I6" s="310" t="s">
        <v>13</v>
      </c>
      <c r="J6" s="307" t="s">
        <v>14</v>
      </c>
      <c r="K6" s="307"/>
      <c r="L6" s="307"/>
      <c r="M6" s="307"/>
      <c r="N6" s="307"/>
      <c r="O6" s="307"/>
      <c r="P6" s="312"/>
      <c r="R6" s="112"/>
      <c r="S6" s="112"/>
      <c r="T6" s="112"/>
      <c r="U6" s="112"/>
    </row>
    <row r="7" spans="1:76" x14ac:dyDescent="0.25">
      <c r="A7" s="306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12"/>
      <c r="R7" s="112"/>
      <c r="S7" s="112"/>
      <c r="T7" s="112"/>
      <c r="U7" s="112"/>
      <c r="V7" s="112"/>
      <c r="W7" s="112"/>
      <c r="X7" s="112"/>
      <c r="Z7" s="112">
        <f>Z5-Z2</f>
        <v>0</v>
      </c>
      <c r="AA7" s="112">
        <f t="shared" ref="AA7:AG7" si="1">AA5-AA2</f>
        <v>0</v>
      </c>
      <c r="AB7" s="112">
        <f t="shared" si="1"/>
        <v>0</v>
      </c>
      <c r="AC7" s="112">
        <f t="shared" si="1"/>
        <v>0</v>
      </c>
      <c r="AD7" s="112">
        <f t="shared" si="1"/>
        <v>0</v>
      </c>
      <c r="AE7" s="112">
        <f t="shared" si="1"/>
        <v>0</v>
      </c>
      <c r="AF7" s="112">
        <f t="shared" si="1"/>
        <v>0</v>
      </c>
      <c r="AG7" s="112">
        <f t="shared" si="1"/>
        <v>0</v>
      </c>
    </row>
    <row r="8" spans="1:76" x14ac:dyDescent="0.25">
      <c r="A8" s="308" t="s">
        <v>15</v>
      </c>
      <c r="B8" s="307"/>
      <c r="C8" s="307"/>
      <c r="D8" s="310" t="s">
        <v>16</v>
      </c>
      <c r="E8" s="307"/>
      <c r="F8" s="307" t="s">
        <v>17</v>
      </c>
      <c r="G8" s="307"/>
      <c r="H8" s="372">
        <v>45965</v>
      </c>
      <c r="I8" s="310" t="s">
        <v>18</v>
      </c>
      <c r="J8" s="310" t="s">
        <v>610</v>
      </c>
      <c r="K8" s="307"/>
      <c r="L8" s="307"/>
      <c r="M8" s="307"/>
      <c r="N8" s="307"/>
      <c r="O8" s="307"/>
      <c r="P8" s="312"/>
    </row>
    <row r="9" spans="1:76" x14ac:dyDescent="0.25">
      <c r="A9" s="354"/>
      <c r="B9" s="355"/>
      <c r="C9" s="355"/>
      <c r="D9" s="355"/>
      <c r="E9" s="355"/>
      <c r="F9" s="355"/>
      <c r="G9" s="355"/>
      <c r="H9" s="355"/>
      <c r="I9" s="355"/>
      <c r="J9" s="307"/>
      <c r="K9" s="307"/>
      <c r="L9" s="307"/>
      <c r="M9" s="307"/>
      <c r="N9" s="307"/>
      <c r="O9" s="307"/>
      <c r="P9" s="312"/>
      <c r="V9" s="112"/>
      <c r="W9" s="112"/>
      <c r="X9" s="112"/>
    </row>
    <row r="10" spans="1:76" x14ac:dyDescent="0.25">
      <c r="A10" s="5" t="s">
        <v>19</v>
      </c>
      <c r="B10" s="6" t="s">
        <v>20</v>
      </c>
      <c r="C10" s="6" t="s">
        <v>21</v>
      </c>
      <c r="D10" s="386" t="s">
        <v>22</v>
      </c>
      <c r="E10" s="387"/>
      <c r="F10" s="6" t="s">
        <v>23</v>
      </c>
      <c r="G10" s="7" t="s">
        <v>24</v>
      </c>
      <c r="H10" s="8" t="s">
        <v>25</v>
      </c>
      <c r="I10" s="9" t="s">
        <v>26</v>
      </c>
      <c r="J10" s="362" t="s">
        <v>27</v>
      </c>
      <c r="K10" s="363"/>
      <c r="L10" s="364"/>
      <c r="M10" s="10" t="s">
        <v>27</v>
      </c>
      <c r="N10" s="382" t="s">
        <v>28</v>
      </c>
      <c r="O10" s="383"/>
      <c r="P10" s="11" t="s">
        <v>29</v>
      </c>
      <c r="BK10" s="12" t="s">
        <v>30</v>
      </c>
      <c r="BL10" s="13" t="s">
        <v>31</v>
      </c>
      <c r="BW10" s="13" t="s">
        <v>32</v>
      </c>
    </row>
    <row r="11" spans="1:76" x14ac:dyDescent="0.25">
      <c r="A11" s="14" t="s">
        <v>3</v>
      </c>
      <c r="B11" s="15" t="s">
        <v>3</v>
      </c>
      <c r="C11" s="15" t="s">
        <v>3</v>
      </c>
      <c r="D11" s="359" t="s">
        <v>33</v>
      </c>
      <c r="E11" s="377"/>
      <c r="F11" s="15" t="s">
        <v>3</v>
      </c>
      <c r="G11" s="15" t="s">
        <v>3</v>
      </c>
      <c r="H11" s="16" t="s">
        <v>34</v>
      </c>
      <c r="I11" s="17" t="s">
        <v>3</v>
      </c>
      <c r="J11" s="18" t="s">
        <v>35</v>
      </c>
      <c r="K11" s="19" t="s">
        <v>36</v>
      </c>
      <c r="L11" s="20" t="s">
        <v>37</v>
      </c>
      <c r="M11" s="21" t="s">
        <v>38</v>
      </c>
      <c r="N11" s="22" t="s">
        <v>39</v>
      </c>
      <c r="O11" s="23" t="s">
        <v>37</v>
      </c>
      <c r="P11" s="24" t="s">
        <v>40</v>
      </c>
      <c r="Z11" s="12" t="s">
        <v>41</v>
      </c>
      <c r="AA11" s="12" t="s">
        <v>42</v>
      </c>
      <c r="AB11" s="12" t="s">
        <v>43</v>
      </c>
      <c r="AC11" s="12" t="s">
        <v>44</v>
      </c>
      <c r="AD11" s="12" t="s">
        <v>45</v>
      </c>
      <c r="AE11" s="12" t="s">
        <v>46</v>
      </c>
      <c r="AF11" s="12" t="s">
        <v>47</v>
      </c>
      <c r="AG11" s="12" t="s">
        <v>48</v>
      </c>
      <c r="AH11" s="12" t="s">
        <v>49</v>
      </c>
      <c r="BH11" s="12" t="s">
        <v>50</v>
      </c>
      <c r="BI11" s="12" t="s">
        <v>51</v>
      </c>
      <c r="BJ11" s="12" t="s">
        <v>52</v>
      </c>
    </row>
    <row r="12" spans="1:76" x14ac:dyDescent="0.25">
      <c r="A12" s="25" t="s">
        <v>53</v>
      </c>
      <c r="B12" s="26" t="s">
        <v>53</v>
      </c>
      <c r="C12" s="26" t="s">
        <v>54</v>
      </c>
      <c r="D12" s="384" t="s">
        <v>55</v>
      </c>
      <c r="E12" s="385"/>
      <c r="F12" s="27" t="s">
        <v>3</v>
      </c>
      <c r="G12" s="27" t="s">
        <v>3</v>
      </c>
      <c r="H12" s="27" t="s">
        <v>3</v>
      </c>
      <c r="I12" s="27" t="s">
        <v>3</v>
      </c>
      <c r="J12" s="28">
        <f>SUM(J13:J19)</f>
        <v>0</v>
      </c>
      <c r="K12" s="28">
        <f>SUM(K13:K19)</f>
        <v>0</v>
      </c>
      <c r="L12" s="28">
        <f>SUM(L13:L19)</f>
        <v>0</v>
      </c>
      <c r="M12" s="28">
        <f>SUM(M13:M19)</f>
        <v>0</v>
      </c>
      <c r="N12" s="29" t="s">
        <v>53</v>
      </c>
      <c r="O12" s="28">
        <f>SUM(O13:O19)</f>
        <v>16.103999999999999</v>
      </c>
      <c r="P12" s="30" t="s">
        <v>53</v>
      </c>
      <c r="AI12" s="12" t="s">
        <v>53</v>
      </c>
      <c r="AS12" s="1">
        <f>SUM(AJ13:AJ19)</f>
        <v>0</v>
      </c>
      <c r="AT12" s="1">
        <f>SUM(AK13:AK19)</f>
        <v>0</v>
      </c>
      <c r="AU12" s="1">
        <f>SUM(AL13:AL19)</f>
        <v>0</v>
      </c>
      <c r="BX12" t="s">
        <v>55</v>
      </c>
    </row>
    <row r="13" spans="1:76" x14ac:dyDescent="0.25">
      <c r="A13" s="2">
        <v>1</v>
      </c>
      <c r="B13" s="3" t="s">
        <v>53</v>
      </c>
      <c r="C13" s="3" t="s">
        <v>57</v>
      </c>
      <c r="D13" s="310" t="s">
        <v>58</v>
      </c>
      <c r="E13" s="307"/>
      <c r="F13" s="3" t="s">
        <v>59</v>
      </c>
      <c r="G13" s="31">
        <v>50.2</v>
      </c>
      <c r="H13" s="31">
        <v>0</v>
      </c>
      <c r="I13" s="32">
        <v>21</v>
      </c>
      <c r="J13" s="31">
        <f>ROUND(G13*AO13,2)</f>
        <v>0</v>
      </c>
      <c r="K13" s="31">
        <f>ROUND(G13*AP13,2)</f>
        <v>0</v>
      </c>
      <c r="L13" s="31">
        <f>ROUND(G13*H13,2)</f>
        <v>0</v>
      </c>
      <c r="M13" s="31">
        <f>L13*(1+BW13/100)</f>
        <v>0</v>
      </c>
      <c r="N13" s="31">
        <v>0.22</v>
      </c>
      <c r="O13" s="31">
        <f>G13*N13</f>
        <v>11.044</v>
      </c>
      <c r="P13" s="33" t="s">
        <v>60</v>
      </c>
      <c r="Z13" s="31">
        <f>ROUND(IF(AQ13="5",BJ13,0),2)</f>
        <v>0</v>
      </c>
      <c r="AB13" s="31">
        <f>ROUND(IF(AQ13="1",BH13,0),2)</f>
        <v>0</v>
      </c>
      <c r="AC13" s="31">
        <f>ROUND(IF(AQ13="1",BI13,0),2)</f>
        <v>0</v>
      </c>
      <c r="AD13" s="31">
        <f>ROUND(IF(AQ13="7",BH13,0),2)</f>
        <v>0</v>
      </c>
      <c r="AE13" s="31">
        <f>ROUND(IF(AQ13="7",BI13,0),2)</f>
        <v>0</v>
      </c>
      <c r="AF13" s="31">
        <f>ROUND(IF(AQ13="2",BH13,0),2)</f>
        <v>0</v>
      </c>
      <c r="AG13" s="31">
        <f>ROUND(IF(AQ13="2",BI13,0),2)</f>
        <v>0</v>
      </c>
      <c r="AH13" s="31">
        <f>ROUND(IF(AQ13="0",BJ13,0),2)</f>
        <v>0</v>
      </c>
      <c r="AI13" s="12" t="s">
        <v>53</v>
      </c>
      <c r="AJ13" s="31">
        <f>IF(AN13=0,L13,0)</f>
        <v>0</v>
      </c>
      <c r="AK13" s="31">
        <f>IF(AN13=12,L13,0)</f>
        <v>0</v>
      </c>
      <c r="AL13" s="31">
        <f>IF(AN13=21,L13,0)</f>
        <v>0</v>
      </c>
      <c r="AN13" s="31">
        <v>21</v>
      </c>
      <c r="AO13" s="31">
        <f>H13*0</f>
        <v>0</v>
      </c>
      <c r="AP13" s="31">
        <f>H13*(1-0)</f>
        <v>0</v>
      </c>
      <c r="AQ13" s="34" t="s">
        <v>56</v>
      </c>
      <c r="AV13" s="31">
        <f>ROUND(AW13+AX13,2)</f>
        <v>0</v>
      </c>
      <c r="AW13" s="31">
        <f>ROUND(G13*AO13,2)</f>
        <v>0</v>
      </c>
      <c r="AX13" s="31">
        <f>ROUND(G13*AP13,2)</f>
        <v>0</v>
      </c>
      <c r="AY13" s="34" t="s">
        <v>61</v>
      </c>
      <c r="AZ13" s="34" t="s">
        <v>62</v>
      </c>
      <c r="BA13" s="12" t="s">
        <v>63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11.044</v>
      </c>
      <c r="BH13" s="31">
        <f>G13*AO13</f>
        <v>0</v>
      </c>
      <c r="BI13" s="31">
        <f>G13*AP13</f>
        <v>0</v>
      </c>
      <c r="BJ13" s="31">
        <f>G13*H13</f>
        <v>0</v>
      </c>
      <c r="BK13" s="34" t="s">
        <v>64</v>
      </c>
      <c r="BL13" s="31">
        <v>11</v>
      </c>
      <c r="BW13" s="31">
        <f>I13</f>
        <v>21</v>
      </c>
      <c r="BX13" s="4" t="s">
        <v>58</v>
      </c>
    </row>
    <row r="14" spans="1:76" x14ac:dyDescent="0.25">
      <c r="A14" s="35"/>
      <c r="D14" s="87" t="s">
        <v>65</v>
      </c>
      <c r="E14" s="36" t="s">
        <v>53</v>
      </c>
      <c r="G14" s="37">
        <v>26.1</v>
      </c>
      <c r="P14" s="38"/>
      <c r="BX14" t="s">
        <v>65</v>
      </c>
    </row>
    <row r="15" spans="1:76" x14ac:dyDescent="0.25">
      <c r="A15" s="35"/>
      <c r="D15" s="87" t="s">
        <v>66</v>
      </c>
      <c r="E15" s="36" t="s">
        <v>53</v>
      </c>
      <c r="G15" s="37">
        <v>16</v>
      </c>
      <c r="P15" s="38"/>
      <c r="BX15" t="s">
        <v>66</v>
      </c>
    </row>
    <row r="16" spans="1:76" x14ac:dyDescent="0.25">
      <c r="A16" s="35"/>
      <c r="D16" s="87" t="s">
        <v>67</v>
      </c>
      <c r="E16" s="36" t="s">
        <v>53</v>
      </c>
      <c r="G16" s="37">
        <v>8.1</v>
      </c>
      <c r="P16" s="38"/>
      <c r="BX16" t="s">
        <v>67</v>
      </c>
    </row>
    <row r="17" spans="1:76" s="106" customFormat="1" x14ac:dyDescent="0.25">
      <c r="A17" s="88">
        <f>A13+1</f>
        <v>2</v>
      </c>
      <c r="B17" s="89" t="s">
        <v>53</v>
      </c>
      <c r="C17" s="89" t="s">
        <v>69</v>
      </c>
      <c r="D17" s="373" t="s">
        <v>70</v>
      </c>
      <c r="E17" s="374"/>
      <c r="F17" s="89" t="s">
        <v>71</v>
      </c>
      <c r="G17" s="97">
        <v>23</v>
      </c>
      <c r="H17" s="97">
        <v>0</v>
      </c>
      <c r="I17" s="98">
        <v>21</v>
      </c>
      <c r="J17" s="97">
        <f>ROUND(G17*AO17,2)</f>
        <v>0</v>
      </c>
      <c r="K17" s="97">
        <f>ROUND(G17*AP17,2)</f>
        <v>0</v>
      </c>
      <c r="L17" s="97">
        <f>ROUND(G17*H17,2)</f>
        <v>0</v>
      </c>
      <c r="M17" s="97">
        <f>L17*(1+BW17/100)</f>
        <v>0</v>
      </c>
      <c r="N17" s="97">
        <v>0.22</v>
      </c>
      <c r="O17" s="97">
        <f>G17*N17</f>
        <v>5.0599999999999996</v>
      </c>
      <c r="P17" s="99" t="s">
        <v>60</v>
      </c>
      <c r="Z17" s="97">
        <f>ROUND(IF(AQ17="5",BJ17,0),2)</f>
        <v>0</v>
      </c>
      <c r="AB17" s="97">
        <f>ROUND(IF(AQ17="1",BH17,0),2)</f>
        <v>0</v>
      </c>
      <c r="AC17" s="97">
        <f>ROUND(IF(AQ17="1",BI17,0),2)</f>
        <v>0</v>
      </c>
      <c r="AD17" s="97">
        <f>ROUND(IF(AQ17="7",BH17,0),2)</f>
        <v>0</v>
      </c>
      <c r="AE17" s="97">
        <f>ROUND(IF(AQ17="7",BI17,0),2)</f>
        <v>0</v>
      </c>
      <c r="AF17" s="97">
        <f>ROUND(IF(AQ17="2",BH17,0),2)</f>
        <v>0</v>
      </c>
      <c r="AG17" s="97">
        <f>ROUND(IF(AQ17="2",BI17,0),2)</f>
        <v>0</v>
      </c>
      <c r="AH17" s="97">
        <f>ROUND(IF(AQ17="0",BJ17,0),2)</f>
        <v>0</v>
      </c>
      <c r="AI17" s="100" t="s">
        <v>53</v>
      </c>
      <c r="AJ17" s="97">
        <f>IF(AN17=0,L17,0)</f>
        <v>0</v>
      </c>
      <c r="AK17" s="97">
        <f>IF(AN17=12,L17,0)</f>
        <v>0</v>
      </c>
      <c r="AL17" s="97">
        <f>IF(AN17=21,L17,0)</f>
        <v>0</v>
      </c>
      <c r="AN17" s="97">
        <v>21</v>
      </c>
      <c r="AO17" s="97">
        <f>H17*0</f>
        <v>0</v>
      </c>
      <c r="AP17" s="97">
        <f>H17*(1-0)</f>
        <v>0</v>
      </c>
      <c r="AQ17" s="101" t="s">
        <v>56</v>
      </c>
      <c r="AV17" s="97">
        <f>ROUND(AW17+AX17,2)</f>
        <v>0</v>
      </c>
      <c r="AW17" s="97">
        <f>ROUND(G17*AO17,2)</f>
        <v>0</v>
      </c>
      <c r="AX17" s="97">
        <f>ROUND(G17*AP17,2)</f>
        <v>0</v>
      </c>
      <c r="AY17" s="101" t="s">
        <v>61</v>
      </c>
      <c r="AZ17" s="101" t="s">
        <v>62</v>
      </c>
      <c r="BA17" s="100" t="s">
        <v>63</v>
      </c>
      <c r="BC17" s="97">
        <f>AW17+AX17</f>
        <v>0</v>
      </c>
      <c r="BD17" s="97">
        <f>H17/(100-BE17)*100</f>
        <v>0</v>
      </c>
      <c r="BE17" s="97">
        <v>0</v>
      </c>
      <c r="BF17" s="97">
        <f>O17</f>
        <v>5.0599999999999996</v>
      </c>
      <c r="BH17" s="97">
        <f>G17*AO17</f>
        <v>0</v>
      </c>
      <c r="BI17" s="97">
        <f>G17*AP17</f>
        <v>0</v>
      </c>
      <c r="BJ17" s="97">
        <f>G17*H17</f>
        <v>0</v>
      </c>
      <c r="BK17" s="101" t="s">
        <v>64</v>
      </c>
      <c r="BL17" s="97">
        <v>11</v>
      </c>
      <c r="BW17" s="97">
        <f>I17</f>
        <v>21</v>
      </c>
      <c r="BX17" s="96" t="s">
        <v>70</v>
      </c>
    </row>
    <row r="18" spans="1:76" s="106" customFormat="1" x14ac:dyDescent="0.25">
      <c r="A18" s="91"/>
      <c r="D18" s="92" t="s">
        <v>72</v>
      </c>
      <c r="E18" s="92" t="s">
        <v>53</v>
      </c>
      <c r="G18" s="293">
        <v>23</v>
      </c>
      <c r="P18" s="93"/>
      <c r="BX18" s="106" t="s">
        <v>72</v>
      </c>
    </row>
    <row r="19" spans="1:76" s="106" customFormat="1" x14ac:dyDescent="0.25">
      <c r="A19" s="88">
        <f>A17+1</f>
        <v>3</v>
      </c>
      <c r="B19" s="89" t="s">
        <v>53</v>
      </c>
      <c r="C19" s="89" t="s">
        <v>656</v>
      </c>
      <c r="D19" s="373" t="s">
        <v>657</v>
      </c>
      <c r="E19" s="374"/>
      <c r="F19" s="89" t="s">
        <v>59</v>
      </c>
      <c r="G19" s="97">
        <v>240</v>
      </c>
      <c r="H19" s="97">
        <v>0</v>
      </c>
      <c r="I19" s="98">
        <v>21</v>
      </c>
      <c r="J19" s="97">
        <f>ROUND(G19*AO19,2)</f>
        <v>0</v>
      </c>
      <c r="K19" s="97">
        <f>ROUND(G19*AP19,2)</f>
        <v>0</v>
      </c>
      <c r="L19" s="97">
        <f>ROUND(G19*H19,2)</f>
        <v>0</v>
      </c>
      <c r="M19" s="97">
        <f>L19*(1+BW19/100)</f>
        <v>0</v>
      </c>
      <c r="N19" s="97">
        <v>0</v>
      </c>
      <c r="O19" s="97">
        <f>G19*N19</f>
        <v>0</v>
      </c>
      <c r="P19" s="99" t="s">
        <v>60</v>
      </c>
      <c r="Z19" s="97">
        <f>ROUND(IF(AQ19="5",BJ19,0),2)</f>
        <v>0</v>
      </c>
      <c r="AB19" s="97">
        <f>ROUND(IF(AQ19="1",BH19,0),2)</f>
        <v>0</v>
      </c>
      <c r="AC19" s="97">
        <f>ROUND(IF(AQ19="1",BI19,0),2)</f>
        <v>0</v>
      </c>
      <c r="AD19" s="97">
        <f>ROUND(IF(AQ19="7",BH19,0),2)</f>
        <v>0</v>
      </c>
      <c r="AE19" s="97">
        <f>ROUND(IF(AQ19="7",BI19,0),2)</f>
        <v>0</v>
      </c>
      <c r="AF19" s="97">
        <f>ROUND(IF(AQ19="2",BH19,0),2)</f>
        <v>0</v>
      </c>
      <c r="AG19" s="97">
        <f>ROUND(IF(AQ19="2",BI19,0),2)</f>
        <v>0</v>
      </c>
      <c r="AH19" s="97">
        <f>ROUND(IF(AQ19="0",BJ19,0),2)</f>
        <v>0</v>
      </c>
      <c r="AI19" s="100" t="s">
        <v>53</v>
      </c>
      <c r="AJ19" s="97">
        <f>IF(AN19=0,L19,0)</f>
        <v>0</v>
      </c>
      <c r="AK19" s="97">
        <f>IF(AN19=12,L19,0)</f>
        <v>0</v>
      </c>
      <c r="AL19" s="97">
        <f>IF(AN19=21,L19,0)</f>
        <v>0</v>
      </c>
      <c r="AN19" s="97">
        <v>21</v>
      </c>
      <c r="AO19" s="97">
        <f>H19*0</f>
        <v>0</v>
      </c>
      <c r="AP19" s="97">
        <f>H19*(1-0)</f>
        <v>0</v>
      </c>
      <c r="AQ19" s="101" t="s">
        <v>56</v>
      </c>
      <c r="AV19" s="97">
        <f>ROUND(AW19+AX19,2)</f>
        <v>0</v>
      </c>
      <c r="AW19" s="97">
        <f>ROUND(G19*AO19,2)</f>
        <v>0</v>
      </c>
      <c r="AX19" s="97">
        <f>ROUND(G19*AP19,2)</f>
        <v>0</v>
      </c>
      <c r="AY19" s="101" t="s">
        <v>61</v>
      </c>
      <c r="AZ19" s="101" t="s">
        <v>62</v>
      </c>
      <c r="BA19" s="100" t="s">
        <v>63</v>
      </c>
      <c r="BC19" s="97">
        <f>AW19+AX19</f>
        <v>0</v>
      </c>
      <c r="BD19" s="97">
        <f>H19/(100-BE19)*100</f>
        <v>0</v>
      </c>
      <c r="BE19" s="97">
        <v>0</v>
      </c>
      <c r="BF19" s="97">
        <f>O19</f>
        <v>0</v>
      </c>
      <c r="BH19" s="97">
        <f>G19*AO19</f>
        <v>0</v>
      </c>
      <c r="BI19" s="97">
        <f>G19*AP19</f>
        <v>0</v>
      </c>
      <c r="BJ19" s="97">
        <f>G19*H19</f>
        <v>0</v>
      </c>
      <c r="BK19" s="101" t="s">
        <v>64</v>
      </c>
      <c r="BL19" s="97">
        <v>11</v>
      </c>
      <c r="BW19" s="97">
        <f>I19</f>
        <v>21</v>
      </c>
      <c r="BX19" s="96" t="s">
        <v>657</v>
      </c>
    </row>
    <row r="20" spans="1:76" s="106" customFormat="1" x14ac:dyDescent="0.25">
      <c r="A20" s="91"/>
      <c r="D20" s="87" t="s">
        <v>1151</v>
      </c>
      <c r="E20" s="92" t="s">
        <v>53</v>
      </c>
      <c r="G20" s="37">
        <v>168</v>
      </c>
      <c r="P20" s="93"/>
      <c r="BX20" s="106" t="s">
        <v>1151</v>
      </c>
    </row>
    <row r="21" spans="1:76" s="106" customFormat="1" x14ac:dyDescent="0.25">
      <c r="A21" s="91"/>
      <c r="D21" s="87" t="s">
        <v>110</v>
      </c>
      <c r="E21" s="92" t="s">
        <v>53</v>
      </c>
      <c r="G21" s="37">
        <v>52</v>
      </c>
      <c r="P21" s="93"/>
      <c r="BX21" s="106" t="s">
        <v>110</v>
      </c>
    </row>
    <row r="22" spans="1:76" s="106" customFormat="1" x14ac:dyDescent="0.25">
      <c r="A22" s="91"/>
      <c r="D22" s="87" t="s">
        <v>1152</v>
      </c>
      <c r="E22" s="92" t="s">
        <v>53</v>
      </c>
      <c r="G22" s="37">
        <v>20</v>
      </c>
      <c r="P22" s="93"/>
      <c r="BX22" s="106" t="s">
        <v>1152</v>
      </c>
    </row>
    <row r="23" spans="1:76" x14ac:dyDescent="0.25">
      <c r="A23" s="39" t="s">
        <v>53</v>
      </c>
      <c r="B23" s="40" t="s">
        <v>53</v>
      </c>
      <c r="C23" s="40" t="s">
        <v>73</v>
      </c>
      <c r="D23" s="375" t="s">
        <v>74</v>
      </c>
      <c r="E23" s="376"/>
      <c r="F23" s="41" t="s">
        <v>3</v>
      </c>
      <c r="G23" s="41" t="s">
        <v>3</v>
      </c>
      <c r="H23" s="41" t="s">
        <v>3</v>
      </c>
      <c r="I23" s="41" t="s">
        <v>3</v>
      </c>
      <c r="J23" s="1">
        <f>SUM(J24:J24)</f>
        <v>0</v>
      </c>
      <c r="K23" s="1">
        <f>SUM(K24:K24)</f>
        <v>0</v>
      </c>
      <c r="L23" s="1">
        <f>SUM(L24:L24)</f>
        <v>0</v>
      </c>
      <c r="M23" s="1">
        <f>SUM(M24:M24)</f>
        <v>0</v>
      </c>
      <c r="N23" s="12" t="s">
        <v>53</v>
      </c>
      <c r="O23" s="1">
        <f>SUM(O24:O24)</f>
        <v>0</v>
      </c>
      <c r="P23" s="42" t="s">
        <v>53</v>
      </c>
      <c r="AI23" s="12" t="s">
        <v>53</v>
      </c>
      <c r="AS23" s="1">
        <f>SUM(AJ24:AJ24)</f>
        <v>0</v>
      </c>
      <c r="AT23" s="1">
        <f>SUM(AK24:AK24)</f>
        <v>0</v>
      </c>
      <c r="AU23" s="1">
        <f>SUM(AL24:AL24)</f>
        <v>0</v>
      </c>
      <c r="BX23" t="s">
        <v>74</v>
      </c>
    </row>
    <row r="24" spans="1:76" x14ac:dyDescent="0.25">
      <c r="A24" s="2">
        <f>A19+1</f>
        <v>4</v>
      </c>
      <c r="B24" s="3" t="s">
        <v>53</v>
      </c>
      <c r="C24" s="3" t="s">
        <v>75</v>
      </c>
      <c r="D24" s="310" t="s">
        <v>76</v>
      </c>
      <c r="E24" s="307"/>
      <c r="F24" s="3" t="s">
        <v>77</v>
      </c>
      <c r="G24" s="31">
        <v>10.4</v>
      </c>
      <c r="H24" s="31">
        <v>0</v>
      </c>
      <c r="I24" s="32">
        <v>21</v>
      </c>
      <c r="J24" s="31">
        <f>ROUND(G24*AO24,2)</f>
        <v>0</v>
      </c>
      <c r="K24" s="31">
        <f>ROUND(G24*AP24,2)</f>
        <v>0</v>
      </c>
      <c r="L24" s="31">
        <f>ROUND(G24*H24,2)</f>
        <v>0</v>
      </c>
      <c r="M24" s="31">
        <f>L24*(1+BW24/100)</f>
        <v>0</v>
      </c>
      <c r="N24" s="31">
        <v>0</v>
      </c>
      <c r="O24" s="31">
        <f>G24*N24</f>
        <v>0</v>
      </c>
      <c r="P24" s="33" t="s">
        <v>60</v>
      </c>
      <c r="Z24" s="31">
        <f>ROUND(IF(AQ24="5",BJ24,0),2)</f>
        <v>0</v>
      </c>
      <c r="AB24" s="31">
        <f>ROUND(IF(AQ24="1",BH24,0),2)</f>
        <v>0</v>
      </c>
      <c r="AC24" s="31">
        <f>ROUND(IF(AQ24="1",BI24,0),2)</f>
        <v>0</v>
      </c>
      <c r="AD24" s="31">
        <f>ROUND(IF(AQ24="7",BH24,0),2)</f>
        <v>0</v>
      </c>
      <c r="AE24" s="31">
        <f>ROUND(IF(AQ24="7",BI24,0),2)</f>
        <v>0</v>
      </c>
      <c r="AF24" s="31">
        <f>ROUND(IF(AQ24="2",BH24,0),2)</f>
        <v>0</v>
      </c>
      <c r="AG24" s="31">
        <f>ROUND(IF(AQ24="2",BI24,0),2)</f>
        <v>0</v>
      </c>
      <c r="AH24" s="31">
        <f>ROUND(IF(AQ24="0",BJ24,0),2)</f>
        <v>0</v>
      </c>
      <c r="AI24" s="12" t="s">
        <v>53</v>
      </c>
      <c r="AJ24" s="31">
        <f>IF(AN24=0,L24,0)</f>
        <v>0</v>
      </c>
      <c r="AK24" s="31">
        <f>IF(AN24=12,L24,0)</f>
        <v>0</v>
      </c>
      <c r="AL24" s="31">
        <f>IF(AN24=21,L24,0)</f>
        <v>0</v>
      </c>
      <c r="AN24" s="31">
        <v>21</v>
      </c>
      <c r="AO24" s="31">
        <f>H24*0</f>
        <v>0</v>
      </c>
      <c r="AP24" s="31">
        <f>H24*(1-0)</f>
        <v>0</v>
      </c>
      <c r="AQ24" s="34" t="s">
        <v>56</v>
      </c>
      <c r="AV24" s="31">
        <f>ROUND(AW24+AX24,2)</f>
        <v>0</v>
      </c>
      <c r="AW24" s="31">
        <f>ROUND(G24*AO24,2)</f>
        <v>0</v>
      </c>
      <c r="AX24" s="31">
        <f>ROUND(G24*AP24,2)</f>
        <v>0</v>
      </c>
      <c r="AY24" s="34" t="s">
        <v>78</v>
      </c>
      <c r="AZ24" s="34" t="s">
        <v>62</v>
      </c>
      <c r="BA24" s="12" t="s">
        <v>63</v>
      </c>
      <c r="BC24" s="31">
        <f>AW24+AX24</f>
        <v>0</v>
      </c>
      <c r="BD24" s="31">
        <f>H24/(100-BE24)*100</f>
        <v>0</v>
      </c>
      <c r="BE24" s="31">
        <v>0</v>
      </c>
      <c r="BF24" s="31">
        <f>O24</f>
        <v>0</v>
      </c>
      <c r="BH24" s="31">
        <f>G24*AO24</f>
        <v>0</v>
      </c>
      <c r="BI24" s="31">
        <f>G24*AP24</f>
        <v>0</v>
      </c>
      <c r="BJ24" s="31">
        <f>G24*H24</f>
        <v>0</v>
      </c>
      <c r="BK24" s="34" t="s">
        <v>64</v>
      </c>
      <c r="BL24" s="31">
        <v>12</v>
      </c>
      <c r="BW24" s="31">
        <f>I24</f>
        <v>21</v>
      </c>
      <c r="BX24" s="4" t="s">
        <v>76</v>
      </c>
    </row>
    <row r="25" spans="1:76" x14ac:dyDescent="0.25">
      <c r="A25" s="35"/>
      <c r="D25" s="87" t="s">
        <v>79</v>
      </c>
      <c r="E25" s="36" t="s">
        <v>53</v>
      </c>
      <c r="G25" s="37">
        <v>10.4</v>
      </c>
      <c r="P25" s="38"/>
      <c r="BX25" t="s">
        <v>79</v>
      </c>
    </row>
    <row r="26" spans="1:76" x14ac:dyDescent="0.25">
      <c r="A26" s="39" t="s">
        <v>53</v>
      </c>
      <c r="B26" s="40" t="s">
        <v>53</v>
      </c>
      <c r="C26" s="40" t="s">
        <v>80</v>
      </c>
      <c r="D26" s="375" t="s">
        <v>81</v>
      </c>
      <c r="E26" s="376"/>
      <c r="F26" s="41" t="s">
        <v>3</v>
      </c>
      <c r="G26" s="41" t="s">
        <v>3</v>
      </c>
      <c r="H26" s="41" t="s">
        <v>3</v>
      </c>
      <c r="I26" s="41" t="s">
        <v>3</v>
      </c>
      <c r="J26" s="1">
        <f>SUM(J27:J31)</f>
        <v>0</v>
      </c>
      <c r="K26" s="1">
        <f>SUM(K27:K31)</f>
        <v>0</v>
      </c>
      <c r="L26" s="1">
        <f>SUM(L27:L31)</f>
        <v>0</v>
      </c>
      <c r="M26" s="1">
        <f>SUM(M27:M31)</f>
        <v>0</v>
      </c>
      <c r="N26" s="12" t="s">
        <v>53</v>
      </c>
      <c r="O26" s="1">
        <f>SUM(O27:O31)</f>
        <v>0</v>
      </c>
      <c r="P26" s="42" t="s">
        <v>53</v>
      </c>
      <c r="AI26" s="12" t="s">
        <v>53</v>
      </c>
      <c r="AS26" s="1">
        <f>SUM(AJ27:AJ31)</f>
        <v>0</v>
      </c>
      <c r="AT26" s="1">
        <f>SUM(AK27:AK31)</f>
        <v>0</v>
      </c>
      <c r="AU26" s="1">
        <f>SUM(AL27:AL31)</f>
        <v>0</v>
      </c>
      <c r="BX26" t="s">
        <v>81</v>
      </c>
    </row>
    <row r="27" spans="1:76" x14ac:dyDescent="0.25">
      <c r="A27" s="2">
        <f>A24+1</f>
        <v>5</v>
      </c>
      <c r="B27" s="3" t="s">
        <v>53</v>
      </c>
      <c r="C27" s="3" t="s">
        <v>82</v>
      </c>
      <c r="D27" s="310" t="s">
        <v>83</v>
      </c>
      <c r="E27" s="307"/>
      <c r="F27" s="3" t="s">
        <v>77</v>
      </c>
      <c r="G27" s="31">
        <v>28.080000000000002</v>
      </c>
      <c r="H27" s="31">
        <v>0</v>
      </c>
      <c r="I27" s="32">
        <v>21</v>
      </c>
      <c r="J27" s="31">
        <f>ROUND(G27*AO27,2)</f>
        <v>0</v>
      </c>
      <c r="K27" s="31">
        <f>ROUND(G27*AP27,2)</f>
        <v>0</v>
      </c>
      <c r="L27" s="31">
        <f>ROUND(G27*H27,2)</f>
        <v>0</v>
      </c>
      <c r="M27" s="31">
        <f>L27*(1+BW27/100)</f>
        <v>0</v>
      </c>
      <c r="N27" s="31">
        <v>0</v>
      </c>
      <c r="O27" s="31">
        <f>G27*N27</f>
        <v>0</v>
      </c>
      <c r="P27" s="33" t="s">
        <v>60</v>
      </c>
      <c r="Z27" s="31">
        <f>ROUND(IF(AQ27="5",BJ27,0),2)</f>
        <v>0</v>
      </c>
      <c r="AB27" s="31">
        <f>ROUND(IF(AQ27="1",BH27,0),2)</f>
        <v>0</v>
      </c>
      <c r="AC27" s="31">
        <f>ROUND(IF(AQ27="1",BI27,0),2)</f>
        <v>0</v>
      </c>
      <c r="AD27" s="31">
        <f>ROUND(IF(AQ27="7",BH27,0),2)</f>
        <v>0</v>
      </c>
      <c r="AE27" s="31">
        <f>ROUND(IF(AQ27="7",BI27,0),2)</f>
        <v>0</v>
      </c>
      <c r="AF27" s="31">
        <f>ROUND(IF(AQ27="2",BH27,0),2)</f>
        <v>0</v>
      </c>
      <c r="AG27" s="31">
        <f>ROUND(IF(AQ27="2",BI27,0),2)</f>
        <v>0</v>
      </c>
      <c r="AH27" s="31">
        <f>ROUND(IF(AQ27="0",BJ27,0),2)</f>
        <v>0</v>
      </c>
      <c r="AI27" s="12" t="s">
        <v>53</v>
      </c>
      <c r="AJ27" s="31">
        <f>IF(AN27=0,L27,0)</f>
        <v>0</v>
      </c>
      <c r="AK27" s="31">
        <f>IF(AN27=12,L27,0)</f>
        <v>0</v>
      </c>
      <c r="AL27" s="31">
        <f>IF(AN27=21,L27,0)</f>
        <v>0</v>
      </c>
      <c r="AN27" s="31">
        <v>21</v>
      </c>
      <c r="AO27" s="31">
        <f>H27*0</f>
        <v>0</v>
      </c>
      <c r="AP27" s="31">
        <f>H27*(1-0)</f>
        <v>0</v>
      </c>
      <c r="AQ27" s="34" t="s">
        <v>56</v>
      </c>
      <c r="AV27" s="31">
        <f>ROUND(AW27+AX27,2)</f>
        <v>0</v>
      </c>
      <c r="AW27" s="31">
        <f>ROUND(G27*AO27,2)</f>
        <v>0</v>
      </c>
      <c r="AX27" s="31">
        <f>ROUND(G27*AP27,2)</f>
        <v>0</v>
      </c>
      <c r="AY27" s="34" t="s">
        <v>84</v>
      </c>
      <c r="AZ27" s="34" t="s">
        <v>62</v>
      </c>
      <c r="BA27" s="12" t="s">
        <v>63</v>
      </c>
      <c r="BC27" s="31">
        <f>AW27+AX27</f>
        <v>0</v>
      </c>
      <c r="BD27" s="31">
        <f>H27/(100-BE27)*100</f>
        <v>0</v>
      </c>
      <c r="BE27" s="31">
        <v>0</v>
      </c>
      <c r="BF27" s="31">
        <f>O27</f>
        <v>0</v>
      </c>
      <c r="BH27" s="31">
        <f>G27*AO27</f>
        <v>0</v>
      </c>
      <c r="BI27" s="31">
        <f>G27*AP27</f>
        <v>0</v>
      </c>
      <c r="BJ27" s="31">
        <f>G27*H27</f>
        <v>0</v>
      </c>
      <c r="BK27" s="34" t="s">
        <v>64</v>
      </c>
      <c r="BL27" s="31">
        <v>13</v>
      </c>
      <c r="BW27" s="31">
        <f>I27</f>
        <v>21</v>
      </c>
      <c r="BX27" s="4" t="s">
        <v>83</v>
      </c>
    </row>
    <row r="28" spans="1:76" x14ac:dyDescent="0.25">
      <c r="A28" s="35"/>
      <c r="D28" s="87" t="s">
        <v>85</v>
      </c>
      <c r="E28" s="36" t="s">
        <v>53</v>
      </c>
      <c r="G28" s="37">
        <v>2.88</v>
      </c>
      <c r="P28" s="38"/>
      <c r="BX28" t="s">
        <v>85</v>
      </c>
    </row>
    <row r="29" spans="1:76" x14ac:dyDescent="0.25">
      <c r="A29" s="35"/>
      <c r="D29" s="87" t="s">
        <v>642</v>
      </c>
      <c r="E29" s="36" t="s">
        <v>53</v>
      </c>
      <c r="G29" s="37">
        <v>21.6</v>
      </c>
      <c r="P29" s="38"/>
      <c r="BX29" t="s">
        <v>642</v>
      </c>
    </row>
    <row r="30" spans="1:76" x14ac:dyDescent="0.25">
      <c r="A30" s="35"/>
      <c r="D30" s="87" t="s">
        <v>86</v>
      </c>
      <c r="E30" s="36" t="s">
        <v>53</v>
      </c>
      <c r="G30" s="37">
        <v>3.6</v>
      </c>
      <c r="P30" s="38"/>
      <c r="BX30" t="s">
        <v>86</v>
      </c>
    </row>
    <row r="31" spans="1:76" x14ac:dyDescent="0.25">
      <c r="A31" s="2">
        <f>A27+1</f>
        <v>6</v>
      </c>
      <c r="B31" s="3" t="s">
        <v>53</v>
      </c>
      <c r="C31" s="3" t="s">
        <v>88</v>
      </c>
      <c r="D31" s="310" t="s">
        <v>89</v>
      </c>
      <c r="E31" s="307"/>
      <c r="F31" s="3" t="s">
        <v>77</v>
      </c>
      <c r="G31" s="31">
        <v>25.200000000000003</v>
      </c>
      <c r="H31" s="31">
        <v>0</v>
      </c>
      <c r="I31" s="32">
        <v>21</v>
      </c>
      <c r="J31" s="31">
        <f>ROUND(G31*AO31,2)</f>
        <v>0</v>
      </c>
      <c r="K31" s="31">
        <f>ROUND(G31*AP31,2)</f>
        <v>0</v>
      </c>
      <c r="L31" s="31">
        <f>ROUND(G31*H31,2)</f>
        <v>0</v>
      </c>
      <c r="M31" s="31">
        <f>L31*(1+BW31/100)</f>
        <v>0</v>
      </c>
      <c r="N31" s="31">
        <v>0</v>
      </c>
      <c r="O31" s="31">
        <f>G31*N31</f>
        <v>0</v>
      </c>
      <c r="P31" s="33" t="s">
        <v>60</v>
      </c>
      <c r="Z31" s="31">
        <f>ROUND(IF(AQ31="5",BJ31,0),2)</f>
        <v>0</v>
      </c>
      <c r="AB31" s="31">
        <f>ROUND(IF(AQ31="1",BH31,0),2)</f>
        <v>0</v>
      </c>
      <c r="AC31" s="31">
        <f>ROUND(IF(AQ31="1",BI31,0),2)</f>
        <v>0</v>
      </c>
      <c r="AD31" s="31">
        <f>ROUND(IF(AQ31="7",BH31,0),2)</f>
        <v>0</v>
      </c>
      <c r="AE31" s="31">
        <f>ROUND(IF(AQ31="7",BI31,0),2)</f>
        <v>0</v>
      </c>
      <c r="AF31" s="31">
        <f>ROUND(IF(AQ31="2",BH31,0),2)</f>
        <v>0</v>
      </c>
      <c r="AG31" s="31">
        <f>ROUND(IF(AQ31="2",BI31,0),2)</f>
        <v>0</v>
      </c>
      <c r="AH31" s="31">
        <f>ROUND(IF(AQ31="0",BJ31,0),2)</f>
        <v>0</v>
      </c>
      <c r="AI31" s="12" t="s">
        <v>53</v>
      </c>
      <c r="AJ31" s="31">
        <f>IF(AN31=0,L31,0)</f>
        <v>0</v>
      </c>
      <c r="AK31" s="31">
        <f>IF(AN31=12,L31,0)</f>
        <v>0</v>
      </c>
      <c r="AL31" s="31">
        <f>IF(AN31=21,L31,0)</f>
        <v>0</v>
      </c>
      <c r="AN31" s="31">
        <v>21</v>
      </c>
      <c r="AO31" s="31">
        <f>H31*0</f>
        <v>0</v>
      </c>
      <c r="AP31" s="31">
        <f>H31*(1-0)</f>
        <v>0</v>
      </c>
      <c r="AQ31" s="34" t="s">
        <v>56</v>
      </c>
      <c r="AV31" s="31">
        <f>ROUND(AW31+AX31,2)</f>
        <v>0</v>
      </c>
      <c r="AW31" s="31">
        <f>ROUND(G31*AO31,2)</f>
        <v>0</v>
      </c>
      <c r="AX31" s="31">
        <f>ROUND(G31*AP31,2)</f>
        <v>0</v>
      </c>
      <c r="AY31" s="34" t="s">
        <v>84</v>
      </c>
      <c r="AZ31" s="34" t="s">
        <v>62</v>
      </c>
      <c r="BA31" s="12" t="s">
        <v>63</v>
      </c>
      <c r="BC31" s="31">
        <f>AW31+AX31</f>
        <v>0</v>
      </c>
      <c r="BD31" s="31">
        <f>H31/(100-BE31)*100</f>
        <v>0</v>
      </c>
      <c r="BE31" s="31">
        <v>0</v>
      </c>
      <c r="BF31" s="31">
        <f>O31</f>
        <v>0</v>
      </c>
      <c r="BH31" s="31">
        <f>G31*AO31</f>
        <v>0</v>
      </c>
      <c r="BI31" s="31">
        <f>G31*AP31</f>
        <v>0</v>
      </c>
      <c r="BJ31" s="31">
        <f>G31*H31</f>
        <v>0</v>
      </c>
      <c r="BK31" s="34" t="s">
        <v>64</v>
      </c>
      <c r="BL31" s="31">
        <v>13</v>
      </c>
      <c r="BW31" s="31">
        <f>I31</f>
        <v>21</v>
      </c>
      <c r="BX31" s="4" t="s">
        <v>89</v>
      </c>
    </row>
    <row r="32" spans="1:76" x14ac:dyDescent="0.25">
      <c r="A32" s="35"/>
      <c r="D32" s="87" t="s">
        <v>642</v>
      </c>
      <c r="E32" s="36" t="s">
        <v>53</v>
      </c>
      <c r="G32" s="37">
        <v>21.6</v>
      </c>
      <c r="P32" s="38"/>
      <c r="BX32" t="s">
        <v>642</v>
      </c>
    </row>
    <row r="33" spans="1:76" x14ac:dyDescent="0.25">
      <c r="A33" s="35"/>
      <c r="D33" s="87" t="s">
        <v>86</v>
      </c>
      <c r="E33" s="36" t="s">
        <v>53</v>
      </c>
      <c r="G33" s="37">
        <v>3.6</v>
      </c>
      <c r="P33" s="38"/>
      <c r="BX33" t="s">
        <v>86</v>
      </c>
    </row>
    <row r="34" spans="1:76" x14ac:dyDescent="0.25">
      <c r="A34" s="39" t="s">
        <v>53</v>
      </c>
      <c r="B34" s="40" t="s">
        <v>53</v>
      </c>
      <c r="C34" s="40" t="s">
        <v>90</v>
      </c>
      <c r="D34" s="375" t="s">
        <v>91</v>
      </c>
      <c r="E34" s="376"/>
      <c r="F34" s="41" t="s">
        <v>3</v>
      </c>
      <c r="G34" s="41" t="s">
        <v>3</v>
      </c>
      <c r="H34" s="41" t="s">
        <v>3</v>
      </c>
      <c r="I34" s="41" t="s">
        <v>3</v>
      </c>
      <c r="J34" s="1">
        <f>SUM(J35:J36)</f>
        <v>0</v>
      </c>
      <c r="K34" s="1">
        <f>SUM(K35:K36)</f>
        <v>0</v>
      </c>
      <c r="L34" s="1">
        <f>SUM(L35:L36)</f>
        <v>0</v>
      </c>
      <c r="M34" s="1">
        <f>SUM(M35:M36)</f>
        <v>0</v>
      </c>
      <c r="N34" s="12" t="s">
        <v>53</v>
      </c>
      <c r="O34" s="1">
        <f>SUM(O35:O36)</f>
        <v>0</v>
      </c>
      <c r="P34" s="42" t="s">
        <v>53</v>
      </c>
      <c r="AI34" s="12" t="s">
        <v>53</v>
      </c>
      <c r="AS34" s="1">
        <f>SUM(AJ35:AJ36)</f>
        <v>0</v>
      </c>
      <c r="AT34" s="1">
        <f>SUM(AK35:AK36)</f>
        <v>0</v>
      </c>
      <c r="AU34" s="1">
        <f>SUM(AL35:AL36)</f>
        <v>0</v>
      </c>
      <c r="BX34" t="s">
        <v>91</v>
      </c>
    </row>
    <row r="35" spans="1:76" x14ac:dyDescent="0.25">
      <c r="A35" s="2">
        <f>A31+1</f>
        <v>7</v>
      </c>
      <c r="B35" s="3" t="s">
        <v>53</v>
      </c>
      <c r="C35" s="3" t="s">
        <v>92</v>
      </c>
      <c r="D35" s="310" t="s">
        <v>93</v>
      </c>
      <c r="E35" s="307"/>
      <c r="F35" s="3" t="s">
        <v>77</v>
      </c>
      <c r="G35" s="31">
        <v>28.080000000000002</v>
      </c>
      <c r="H35" s="31">
        <v>0</v>
      </c>
      <c r="I35" s="32">
        <v>21</v>
      </c>
      <c r="J35" s="31">
        <f>ROUND(G35*AO35,2)</f>
        <v>0</v>
      </c>
      <c r="K35" s="31">
        <f>ROUND(G35*AP35,2)</f>
        <v>0</v>
      </c>
      <c r="L35" s="31">
        <f>ROUND(G35*H35,2)</f>
        <v>0</v>
      </c>
      <c r="M35" s="31">
        <f>L35*(1+BW35/100)</f>
        <v>0</v>
      </c>
      <c r="N35" s="31">
        <v>0</v>
      </c>
      <c r="O35" s="31">
        <f>G35*N35</f>
        <v>0</v>
      </c>
      <c r="P35" s="33" t="s">
        <v>60</v>
      </c>
      <c r="Z35" s="31">
        <f>ROUND(IF(AQ35="5",BJ35,0),2)</f>
        <v>0</v>
      </c>
      <c r="AB35" s="31">
        <f>ROUND(IF(AQ35="1",BH35,0),2)</f>
        <v>0</v>
      </c>
      <c r="AC35" s="31">
        <f>ROUND(IF(AQ35="1",BI35,0),2)</f>
        <v>0</v>
      </c>
      <c r="AD35" s="31">
        <f>ROUND(IF(AQ35="7",BH35,0),2)</f>
        <v>0</v>
      </c>
      <c r="AE35" s="31">
        <f>ROUND(IF(AQ35="7",BI35,0),2)</f>
        <v>0</v>
      </c>
      <c r="AF35" s="31">
        <f>ROUND(IF(AQ35="2",BH35,0),2)</f>
        <v>0</v>
      </c>
      <c r="AG35" s="31">
        <f>ROUND(IF(AQ35="2",BI35,0),2)</f>
        <v>0</v>
      </c>
      <c r="AH35" s="31">
        <f>ROUND(IF(AQ35="0",BJ35,0),2)</f>
        <v>0</v>
      </c>
      <c r="AI35" s="12" t="s">
        <v>53</v>
      </c>
      <c r="AJ35" s="31">
        <f>IF(AN35=0,L35,0)</f>
        <v>0</v>
      </c>
      <c r="AK35" s="31">
        <f>IF(AN35=12,L35,0)</f>
        <v>0</v>
      </c>
      <c r="AL35" s="31">
        <f>IF(AN35=21,L35,0)</f>
        <v>0</v>
      </c>
      <c r="AN35" s="31">
        <v>21</v>
      </c>
      <c r="AO35" s="31">
        <f>H35*0</f>
        <v>0</v>
      </c>
      <c r="AP35" s="31">
        <f>H35*(1-0)</f>
        <v>0</v>
      </c>
      <c r="AQ35" s="34" t="s">
        <v>56</v>
      </c>
      <c r="AV35" s="31">
        <f>ROUND(AW35+AX35,2)</f>
        <v>0</v>
      </c>
      <c r="AW35" s="31">
        <f>ROUND(G35*AO35,2)</f>
        <v>0</v>
      </c>
      <c r="AX35" s="31">
        <f>ROUND(G35*AP35,2)</f>
        <v>0</v>
      </c>
      <c r="AY35" s="34" t="s">
        <v>94</v>
      </c>
      <c r="AZ35" s="34" t="s">
        <v>62</v>
      </c>
      <c r="BA35" s="12" t="s">
        <v>63</v>
      </c>
      <c r="BC35" s="31">
        <f>AW35+AX35</f>
        <v>0</v>
      </c>
      <c r="BD35" s="31">
        <f>H35/(100-BE35)*100</f>
        <v>0</v>
      </c>
      <c r="BE35" s="31">
        <v>0</v>
      </c>
      <c r="BF35" s="31">
        <f>O35</f>
        <v>0</v>
      </c>
      <c r="BH35" s="31">
        <f>G35*AO35</f>
        <v>0</v>
      </c>
      <c r="BI35" s="31">
        <f>G35*AP35</f>
        <v>0</v>
      </c>
      <c r="BJ35" s="31">
        <f>G35*H35</f>
        <v>0</v>
      </c>
      <c r="BK35" s="34" t="s">
        <v>64</v>
      </c>
      <c r="BL35" s="31">
        <v>16</v>
      </c>
      <c r="BW35" s="31">
        <f>I35</f>
        <v>21</v>
      </c>
      <c r="BX35" s="4" t="s">
        <v>93</v>
      </c>
    </row>
    <row r="36" spans="1:76" x14ac:dyDescent="0.25">
      <c r="A36" s="2">
        <f>A35+1</f>
        <v>8</v>
      </c>
      <c r="B36" s="3" t="s">
        <v>53</v>
      </c>
      <c r="C36" s="3" t="s">
        <v>96</v>
      </c>
      <c r="D36" s="310" t="s">
        <v>97</v>
      </c>
      <c r="E36" s="307"/>
      <c r="F36" s="3" t="s">
        <v>77</v>
      </c>
      <c r="G36" s="31">
        <v>224.64000000000001</v>
      </c>
      <c r="H36" s="31">
        <v>0</v>
      </c>
      <c r="I36" s="32">
        <v>21</v>
      </c>
      <c r="J36" s="31">
        <f>ROUND(G36*AO36,2)</f>
        <v>0</v>
      </c>
      <c r="K36" s="31">
        <f>ROUND(G36*AP36,2)</f>
        <v>0</v>
      </c>
      <c r="L36" s="31">
        <f>ROUND(G36*H36,2)</f>
        <v>0</v>
      </c>
      <c r="M36" s="31">
        <f>L36*(1+BW36/100)</f>
        <v>0</v>
      </c>
      <c r="N36" s="31">
        <v>0</v>
      </c>
      <c r="O36" s="31">
        <f>G36*N36</f>
        <v>0</v>
      </c>
      <c r="P36" s="33" t="s">
        <v>60</v>
      </c>
      <c r="Z36" s="31">
        <f>ROUND(IF(AQ36="5",BJ36,0),2)</f>
        <v>0</v>
      </c>
      <c r="AB36" s="31">
        <f>ROUND(IF(AQ36="1",BH36,0),2)</f>
        <v>0</v>
      </c>
      <c r="AC36" s="31">
        <f>ROUND(IF(AQ36="1",BI36,0),2)</f>
        <v>0</v>
      </c>
      <c r="AD36" s="31">
        <f>ROUND(IF(AQ36="7",BH36,0),2)</f>
        <v>0</v>
      </c>
      <c r="AE36" s="31">
        <f>ROUND(IF(AQ36="7",BI36,0),2)</f>
        <v>0</v>
      </c>
      <c r="AF36" s="31">
        <f>ROUND(IF(AQ36="2",BH36,0),2)</f>
        <v>0</v>
      </c>
      <c r="AG36" s="31">
        <f>ROUND(IF(AQ36="2",BI36,0),2)</f>
        <v>0</v>
      </c>
      <c r="AH36" s="31">
        <f>ROUND(IF(AQ36="0",BJ36,0),2)</f>
        <v>0</v>
      </c>
      <c r="AI36" s="12" t="s">
        <v>53</v>
      </c>
      <c r="AJ36" s="31">
        <f>IF(AN36=0,L36,0)</f>
        <v>0</v>
      </c>
      <c r="AK36" s="31">
        <f>IF(AN36=12,L36,0)</f>
        <v>0</v>
      </c>
      <c r="AL36" s="31">
        <f>IF(AN36=21,L36,0)</f>
        <v>0</v>
      </c>
      <c r="AN36" s="31">
        <v>21</v>
      </c>
      <c r="AO36" s="31">
        <f>H36*0</f>
        <v>0</v>
      </c>
      <c r="AP36" s="31">
        <f>H36*(1-0)</f>
        <v>0</v>
      </c>
      <c r="AQ36" s="34" t="s">
        <v>56</v>
      </c>
      <c r="AV36" s="31">
        <f>ROUND(AW36+AX36,2)</f>
        <v>0</v>
      </c>
      <c r="AW36" s="31">
        <f>ROUND(G36*AO36,2)</f>
        <v>0</v>
      </c>
      <c r="AX36" s="31">
        <f>ROUND(G36*AP36,2)</f>
        <v>0</v>
      </c>
      <c r="AY36" s="34" t="s">
        <v>94</v>
      </c>
      <c r="AZ36" s="34" t="s">
        <v>62</v>
      </c>
      <c r="BA36" s="12" t="s">
        <v>63</v>
      </c>
      <c r="BC36" s="31">
        <f>AW36+AX36</f>
        <v>0</v>
      </c>
      <c r="BD36" s="31">
        <f>H36/(100-BE36)*100</f>
        <v>0</v>
      </c>
      <c r="BE36" s="31">
        <v>0</v>
      </c>
      <c r="BF36" s="31">
        <f>O36</f>
        <v>0</v>
      </c>
      <c r="BH36" s="31">
        <f>G36*AO36</f>
        <v>0</v>
      </c>
      <c r="BI36" s="31">
        <f>G36*AP36</f>
        <v>0</v>
      </c>
      <c r="BJ36" s="31">
        <f>G36*H36</f>
        <v>0</v>
      </c>
      <c r="BK36" s="34" t="s">
        <v>64</v>
      </c>
      <c r="BL36" s="31">
        <v>16</v>
      </c>
      <c r="BW36" s="31">
        <f>I36</f>
        <v>21</v>
      </c>
      <c r="BX36" s="4" t="s">
        <v>97</v>
      </c>
    </row>
    <row r="37" spans="1:76" x14ac:dyDescent="0.25">
      <c r="A37" s="35"/>
      <c r="D37" s="87" t="s">
        <v>1091</v>
      </c>
      <c r="E37" s="36" t="s">
        <v>53</v>
      </c>
      <c r="G37" s="37">
        <v>224.64000000000001</v>
      </c>
      <c r="P37" s="38"/>
      <c r="BX37" t="s">
        <v>1091</v>
      </c>
    </row>
    <row r="38" spans="1:76" x14ac:dyDescent="0.25">
      <c r="A38" s="39" t="s">
        <v>53</v>
      </c>
      <c r="B38" s="40" t="s">
        <v>53</v>
      </c>
      <c r="C38" s="40" t="s">
        <v>98</v>
      </c>
      <c r="D38" s="375" t="s">
        <v>99</v>
      </c>
      <c r="E38" s="376"/>
      <c r="F38" s="41" t="s">
        <v>3</v>
      </c>
      <c r="G38" s="41" t="s">
        <v>3</v>
      </c>
      <c r="H38" s="41" t="s">
        <v>3</v>
      </c>
      <c r="I38" s="41" t="s">
        <v>3</v>
      </c>
      <c r="J38" s="1">
        <f>SUM(J39:J40)</f>
        <v>0</v>
      </c>
      <c r="K38" s="1">
        <f>SUM(K39:K40)</f>
        <v>0</v>
      </c>
      <c r="L38" s="1">
        <f>SUM(L39:L40)</f>
        <v>0</v>
      </c>
      <c r="M38" s="1">
        <f>SUM(M39:M40)</f>
        <v>0</v>
      </c>
      <c r="N38" s="12" t="s">
        <v>53</v>
      </c>
      <c r="O38" s="1">
        <f>SUM(O39:O40)</f>
        <v>0</v>
      </c>
      <c r="P38" s="42" t="s">
        <v>53</v>
      </c>
      <c r="AI38" s="12" t="s">
        <v>53</v>
      </c>
      <c r="AS38" s="1">
        <f>SUM(AJ39:AJ40)</f>
        <v>0</v>
      </c>
      <c r="AT38" s="1">
        <f>SUM(AK39:AK40)</f>
        <v>0</v>
      </c>
      <c r="AU38" s="1">
        <f>SUM(AL39:AL40)</f>
        <v>0</v>
      </c>
      <c r="BX38" t="s">
        <v>99</v>
      </c>
    </row>
    <row r="39" spans="1:76" x14ac:dyDescent="0.25">
      <c r="A39" s="2">
        <f>A36+1</f>
        <v>9</v>
      </c>
      <c r="B39" s="3" t="s">
        <v>53</v>
      </c>
      <c r="C39" s="3" t="s">
        <v>100</v>
      </c>
      <c r="D39" s="310" t="s">
        <v>101</v>
      </c>
      <c r="E39" s="307"/>
      <c r="F39" s="3" t="s">
        <v>77</v>
      </c>
      <c r="G39" s="31">
        <v>28.080000000000002</v>
      </c>
      <c r="H39" s="31">
        <v>0</v>
      </c>
      <c r="I39" s="32">
        <v>21</v>
      </c>
      <c r="J39" s="31">
        <f>ROUND(G39*AO39,2)</f>
        <v>0</v>
      </c>
      <c r="K39" s="31">
        <f>ROUND(G39*AP39,2)</f>
        <v>0</v>
      </c>
      <c r="L39" s="31">
        <f>ROUND(G39*H39,2)</f>
        <v>0</v>
      </c>
      <c r="M39" s="31">
        <f>L39*(1+BW39/100)</f>
        <v>0</v>
      </c>
      <c r="N39" s="31">
        <v>0</v>
      </c>
      <c r="O39" s="31">
        <f>G39*N39</f>
        <v>0</v>
      </c>
      <c r="P39" s="33" t="s">
        <v>60</v>
      </c>
      <c r="Z39" s="31">
        <f>ROUND(IF(AQ39="5",BJ39,0),2)</f>
        <v>0</v>
      </c>
      <c r="AB39" s="31">
        <f>ROUND(IF(AQ39="1",BH39,0),2)</f>
        <v>0</v>
      </c>
      <c r="AC39" s="31">
        <f>ROUND(IF(AQ39="1",BI39,0),2)</f>
        <v>0</v>
      </c>
      <c r="AD39" s="31">
        <f>ROUND(IF(AQ39="7",BH39,0),2)</f>
        <v>0</v>
      </c>
      <c r="AE39" s="31">
        <f>ROUND(IF(AQ39="7",BI39,0),2)</f>
        <v>0</v>
      </c>
      <c r="AF39" s="31">
        <f>ROUND(IF(AQ39="2",BH39,0),2)</f>
        <v>0</v>
      </c>
      <c r="AG39" s="31">
        <f>ROUND(IF(AQ39="2",BI39,0),2)</f>
        <v>0</v>
      </c>
      <c r="AH39" s="31">
        <f>ROUND(IF(AQ39="0",BJ39,0),2)</f>
        <v>0</v>
      </c>
      <c r="AI39" s="12" t="s">
        <v>53</v>
      </c>
      <c r="AJ39" s="31">
        <f>IF(AN39=0,L39,0)</f>
        <v>0</v>
      </c>
      <c r="AK39" s="31">
        <f>IF(AN39=12,L39,0)</f>
        <v>0</v>
      </c>
      <c r="AL39" s="31">
        <f>IF(AN39=21,L39,0)</f>
        <v>0</v>
      </c>
      <c r="AN39" s="31">
        <v>21</v>
      </c>
      <c r="AO39" s="31">
        <f>H39*0</f>
        <v>0</v>
      </c>
      <c r="AP39" s="31">
        <f>H39*(1-0)</f>
        <v>0</v>
      </c>
      <c r="AQ39" s="34" t="s">
        <v>56</v>
      </c>
      <c r="AV39" s="31">
        <f>ROUND(AW39+AX39,2)</f>
        <v>0</v>
      </c>
      <c r="AW39" s="31">
        <f>ROUND(G39*AO39,2)</f>
        <v>0</v>
      </c>
      <c r="AX39" s="31">
        <f>ROUND(G39*AP39,2)</f>
        <v>0</v>
      </c>
      <c r="AY39" s="34" t="s">
        <v>102</v>
      </c>
      <c r="AZ39" s="34" t="s">
        <v>62</v>
      </c>
      <c r="BA39" s="12" t="s">
        <v>63</v>
      </c>
      <c r="BC39" s="31">
        <f>AW39+AX39</f>
        <v>0</v>
      </c>
      <c r="BD39" s="31">
        <f>H39/(100-BE39)*100</f>
        <v>0</v>
      </c>
      <c r="BE39" s="31">
        <v>0</v>
      </c>
      <c r="BF39" s="31">
        <f>O39</f>
        <v>0</v>
      </c>
      <c r="BH39" s="31">
        <f>G39*AO39</f>
        <v>0</v>
      </c>
      <c r="BI39" s="31">
        <f>G39*AP39</f>
        <v>0</v>
      </c>
      <c r="BJ39" s="31">
        <f>G39*H39</f>
        <v>0</v>
      </c>
      <c r="BK39" s="34" t="s">
        <v>64</v>
      </c>
      <c r="BL39" s="31">
        <v>17</v>
      </c>
      <c r="BW39" s="31">
        <f>I39</f>
        <v>21</v>
      </c>
      <c r="BX39" s="4" t="s">
        <v>101</v>
      </c>
    </row>
    <row r="40" spans="1:76" x14ac:dyDescent="0.25">
      <c r="A40" s="2">
        <f>A39+1</f>
        <v>10</v>
      </c>
      <c r="B40" s="3" t="s">
        <v>53</v>
      </c>
      <c r="C40" s="3" t="s">
        <v>103</v>
      </c>
      <c r="D40" s="310" t="s">
        <v>104</v>
      </c>
      <c r="E40" s="307"/>
      <c r="F40" s="3" t="s">
        <v>77</v>
      </c>
      <c r="G40" s="31">
        <v>28.080000000000002</v>
      </c>
      <c r="H40" s="31">
        <v>0</v>
      </c>
      <c r="I40" s="32">
        <v>21</v>
      </c>
      <c r="J40" s="31">
        <f>ROUND(G40*AO40,2)</f>
        <v>0</v>
      </c>
      <c r="K40" s="31">
        <f>ROUND(G40*AP40,2)</f>
        <v>0</v>
      </c>
      <c r="L40" s="31">
        <f>ROUND(G40*H40,2)</f>
        <v>0</v>
      </c>
      <c r="M40" s="31">
        <f>L40*(1+BW40/100)</f>
        <v>0</v>
      </c>
      <c r="N40" s="31">
        <v>0</v>
      </c>
      <c r="O40" s="31">
        <f>G40*N40</f>
        <v>0</v>
      </c>
      <c r="P40" s="33" t="s">
        <v>60</v>
      </c>
      <c r="Z40" s="31">
        <f>ROUND(IF(AQ40="5",BJ40,0),2)</f>
        <v>0</v>
      </c>
      <c r="AB40" s="31">
        <f>ROUND(IF(AQ40="1",BH40,0),2)</f>
        <v>0</v>
      </c>
      <c r="AC40" s="31">
        <f>ROUND(IF(AQ40="1",BI40,0),2)</f>
        <v>0</v>
      </c>
      <c r="AD40" s="31">
        <f>ROUND(IF(AQ40="7",BH40,0),2)</f>
        <v>0</v>
      </c>
      <c r="AE40" s="31">
        <f>ROUND(IF(AQ40="7",BI40,0),2)</f>
        <v>0</v>
      </c>
      <c r="AF40" s="31">
        <f>ROUND(IF(AQ40="2",BH40,0),2)</f>
        <v>0</v>
      </c>
      <c r="AG40" s="31">
        <f>ROUND(IF(AQ40="2",BI40,0),2)</f>
        <v>0</v>
      </c>
      <c r="AH40" s="31">
        <f>ROUND(IF(AQ40="0",BJ40,0),2)</f>
        <v>0</v>
      </c>
      <c r="AI40" s="12" t="s">
        <v>53</v>
      </c>
      <c r="AJ40" s="31">
        <f>IF(AN40=0,L40,0)</f>
        <v>0</v>
      </c>
      <c r="AK40" s="31">
        <f>IF(AN40=12,L40,0)</f>
        <v>0</v>
      </c>
      <c r="AL40" s="31">
        <f>IF(AN40=21,L40,0)</f>
        <v>0</v>
      </c>
      <c r="AN40" s="31">
        <v>21</v>
      </c>
      <c r="AO40" s="31">
        <f>H40*0</f>
        <v>0</v>
      </c>
      <c r="AP40" s="31">
        <f>H40*(1-0)</f>
        <v>0</v>
      </c>
      <c r="AQ40" s="34" t="s">
        <v>56</v>
      </c>
      <c r="AV40" s="31">
        <f>ROUND(AW40+AX40,2)</f>
        <v>0</v>
      </c>
      <c r="AW40" s="31">
        <f>ROUND(G40*AO40,2)</f>
        <v>0</v>
      </c>
      <c r="AX40" s="31">
        <f>ROUND(G40*AP40,2)</f>
        <v>0</v>
      </c>
      <c r="AY40" s="34" t="s">
        <v>102</v>
      </c>
      <c r="AZ40" s="34" t="s">
        <v>62</v>
      </c>
      <c r="BA40" s="12" t="s">
        <v>63</v>
      </c>
      <c r="BC40" s="31">
        <f>AW40+AX40</f>
        <v>0</v>
      </c>
      <c r="BD40" s="31">
        <f>H40/(100-BE40)*100</f>
        <v>0</v>
      </c>
      <c r="BE40" s="31">
        <v>0</v>
      </c>
      <c r="BF40" s="31">
        <f>O40</f>
        <v>0</v>
      </c>
      <c r="BH40" s="31">
        <f>G40*AO40</f>
        <v>0</v>
      </c>
      <c r="BI40" s="31">
        <f>G40*AP40</f>
        <v>0</v>
      </c>
      <c r="BJ40" s="31">
        <f>G40*H40</f>
        <v>0</v>
      </c>
      <c r="BK40" s="34" t="s">
        <v>64</v>
      </c>
      <c r="BL40" s="31">
        <v>17</v>
      </c>
      <c r="BW40" s="31">
        <f>I40</f>
        <v>21</v>
      </c>
      <c r="BX40" s="4" t="s">
        <v>104</v>
      </c>
    </row>
    <row r="41" spans="1:76" x14ac:dyDescent="0.25">
      <c r="A41" s="39" t="s">
        <v>53</v>
      </c>
      <c r="B41" s="40" t="s">
        <v>53</v>
      </c>
      <c r="C41" s="40" t="s">
        <v>105</v>
      </c>
      <c r="D41" s="375" t="s">
        <v>106</v>
      </c>
      <c r="E41" s="376"/>
      <c r="F41" s="41" t="s">
        <v>3</v>
      </c>
      <c r="G41" s="41" t="s">
        <v>3</v>
      </c>
      <c r="H41" s="41" t="s">
        <v>3</v>
      </c>
      <c r="I41" s="41" t="s">
        <v>3</v>
      </c>
      <c r="J41" s="1">
        <f>SUM(J42:J45)</f>
        <v>0</v>
      </c>
      <c r="K41" s="1">
        <f>SUM(K42:K45)</f>
        <v>0</v>
      </c>
      <c r="L41" s="1">
        <f>SUM(L42:L45)</f>
        <v>0</v>
      </c>
      <c r="M41" s="1">
        <f>SUM(M42:M42)</f>
        <v>0</v>
      </c>
      <c r="N41" s="12" t="s">
        <v>53</v>
      </c>
      <c r="O41" s="1">
        <f>SUM(O42:O42)</f>
        <v>0</v>
      </c>
      <c r="P41" s="42" t="s">
        <v>53</v>
      </c>
      <c r="AI41" s="12" t="s">
        <v>53</v>
      </c>
      <c r="AS41" s="1">
        <f>SUM(AJ42:AJ42)</f>
        <v>0</v>
      </c>
      <c r="AT41" s="1">
        <f>SUM(AK42:AK42)</f>
        <v>0</v>
      </c>
      <c r="AU41" s="1">
        <f>SUM(AL42:AL42)</f>
        <v>0</v>
      </c>
      <c r="BX41" t="s">
        <v>106</v>
      </c>
    </row>
    <row r="42" spans="1:76" x14ac:dyDescent="0.25">
      <c r="A42" s="2">
        <f>A40+1</f>
        <v>11</v>
      </c>
      <c r="B42" s="3" t="s">
        <v>53</v>
      </c>
      <c r="C42" s="3" t="s">
        <v>107</v>
      </c>
      <c r="D42" s="310" t="s">
        <v>108</v>
      </c>
      <c r="E42" s="307"/>
      <c r="F42" s="3" t="s">
        <v>59</v>
      </c>
      <c r="G42" s="31">
        <v>52</v>
      </c>
      <c r="H42" s="31">
        <v>0</v>
      </c>
      <c r="I42" s="32">
        <v>21</v>
      </c>
      <c r="J42" s="31">
        <f>ROUND(G42*AO42,2)</f>
        <v>0</v>
      </c>
      <c r="K42" s="31">
        <f>ROUND(G42*AP42,2)</f>
        <v>0</v>
      </c>
      <c r="L42" s="31">
        <f>ROUND(G42*H42,2)</f>
        <v>0</v>
      </c>
      <c r="M42" s="31">
        <f>L42*(1+BW42/100)</f>
        <v>0</v>
      </c>
      <c r="N42" s="31">
        <v>0</v>
      </c>
      <c r="O42" s="31">
        <f>G42*N42</f>
        <v>0</v>
      </c>
      <c r="P42" s="33" t="s">
        <v>60</v>
      </c>
      <c r="Z42" s="31">
        <f>ROUND(IF(AQ42="5",BJ42,0),2)</f>
        <v>0</v>
      </c>
      <c r="AB42" s="31">
        <f>ROUND(IF(AQ42="1",BH42,0),2)</f>
        <v>0</v>
      </c>
      <c r="AC42" s="31">
        <f>ROUND(IF(AQ42="1",BI42,0),2)</f>
        <v>0</v>
      </c>
      <c r="AD42" s="31">
        <f>ROUND(IF(AQ42="7",BH42,0),2)</f>
        <v>0</v>
      </c>
      <c r="AE42" s="31">
        <f>ROUND(IF(AQ42="7",BI42,0),2)</f>
        <v>0</v>
      </c>
      <c r="AF42" s="31">
        <f>ROUND(IF(AQ42="2",BH42,0),2)</f>
        <v>0</v>
      </c>
      <c r="AG42" s="31">
        <f>ROUND(IF(AQ42="2",BI42,0),2)</f>
        <v>0</v>
      </c>
      <c r="AH42" s="31">
        <f>ROUND(IF(AQ42="0",BJ42,0),2)</f>
        <v>0</v>
      </c>
      <c r="AI42" s="12" t="s">
        <v>53</v>
      </c>
      <c r="AJ42" s="31">
        <f>IF(AN42=0,L42,0)</f>
        <v>0</v>
      </c>
      <c r="AK42" s="31">
        <f>IF(AN42=12,L42,0)</f>
        <v>0</v>
      </c>
      <c r="AL42" s="31">
        <f>IF(AN42=21,L42,0)</f>
        <v>0</v>
      </c>
      <c r="AN42" s="31">
        <v>21</v>
      </c>
      <c r="AO42" s="31">
        <f>H42*0</f>
        <v>0</v>
      </c>
      <c r="AP42" s="31">
        <f>H42*(1-0)</f>
        <v>0</v>
      </c>
      <c r="AQ42" s="34" t="s">
        <v>56</v>
      </c>
      <c r="AV42" s="31">
        <f>ROUND(AW42+AX42,2)</f>
        <v>0</v>
      </c>
      <c r="AW42" s="31">
        <f>ROUND(G42*AO42,2)</f>
        <v>0</v>
      </c>
      <c r="AX42" s="31">
        <f>ROUND(G42*AP42,2)</f>
        <v>0</v>
      </c>
      <c r="AY42" s="34" t="s">
        <v>109</v>
      </c>
      <c r="AZ42" s="34" t="s">
        <v>62</v>
      </c>
      <c r="BA42" s="12" t="s">
        <v>63</v>
      </c>
      <c r="BC42" s="31">
        <f>AW42+AX42</f>
        <v>0</v>
      </c>
      <c r="BD42" s="31">
        <f>H42/(100-BE42)*100</f>
        <v>0</v>
      </c>
      <c r="BE42" s="31">
        <v>0</v>
      </c>
      <c r="BF42" s="31">
        <f>O42</f>
        <v>0</v>
      </c>
      <c r="BH42" s="31">
        <f>G42*AO42</f>
        <v>0</v>
      </c>
      <c r="BI42" s="31">
        <f>G42*AP42</f>
        <v>0</v>
      </c>
      <c r="BJ42" s="31">
        <f>G42*H42</f>
        <v>0</v>
      </c>
      <c r="BK42" s="34" t="s">
        <v>64</v>
      </c>
      <c r="BL42" s="31">
        <v>18</v>
      </c>
      <c r="BW42" s="31">
        <f>I42</f>
        <v>21</v>
      </c>
      <c r="BX42" s="4" t="s">
        <v>108</v>
      </c>
    </row>
    <row r="43" spans="1:76" x14ac:dyDescent="0.25">
      <c r="A43" s="35"/>
      <c r="D43" s="87" t="s">
        <v>110</v>
      </c>
      <c r="E43" s="36" t="s">
        <v>53</v>
      </c>
      <c r="G43" s="37">
        <v>52</v>
      </c>
      <c r="P43" s="38"/>
      <c r="BX43" t="s">
        <v>110</v>
      </c>
    </row>
    <row r="44" spans="1:76" s="106" customFormat="1" x14ac:dyDescent="0.25">
      <c r="A44" s="88">
        <f>A42+1</f>
        <v>12</v>
      </c>
      <c r="B44" s="89" t="s">
        <v>53</v>
      </c>
      <c r="C44" s="89" t="s">
        <v>658</v>
      </c>
      <c r="D44" s="373" t="s">
        <v>659</v>
      </c>
      <c r="E44" s="374"/>
      <c r="F44" s="89" t="s">
        <v>134</v>
      </c>
      <c r="G44" s="97">
        <v>52</v>
      </c>
      <c r="H44" s="97">
        <v>0</v>
      </c>
      <c r="I44" s="98">
        <v>21</v>
      </c>
      <c r="J44" s="97">
        <f>ROUND(G44*AO44,2)</f>
        <v>0</v>
      </c>
      <c r="K44" s="97">
        <f>ROUND(G44*AP44,2)</f>
        <v>0</v>
      </c>
      <c r="L44" s="97">
        <f>ROUND(G44*H44,2)</f>
        <v>0</v>
      </c>
      <c r="M44" s="97">
        <f>L44*(1+BW44/100)</f>
        <v>0</v>
      </c>
      <c r="N44" s="97">
        <v>0</v>
      </c>
      <c r="O44" s="97">
        <f>G44*N44</f>
        <v>0</v>
      </c>
      <c r="P44" s="99" t="s">
        <v>60</v>
      </c>
      <c r="Z44" s="97">
        <f>ROUND(IF(AQ44="5",BJ44,0),2)</f>
        <v>0</v>
      </c>
      <c r="AB44" s="97">
        <f>ROUND(IF(AQ44="1",BH44,0),2)</f>
        <v>0</v>
      </c>
      <c r="AC44" s="97">
        <f>ROUND(IF(AQ44="1",BI44,0),2)</f>
        <v>0</v>
      </c>
      <c r="AD44" s="97">
        <f>ROUND(IF(AQ44="7",BH44,0),2)</f>
        <v>0</v>
      </c>
      <c r="AE44" s="97">
        <f>ROUND(IF(AQ44="7",BI44,0),2)</f>
        <v>0</v>
      </c>
      <c r="AF44" s="97">
        <f>ROUND(IF(AQ44="2",BH44,0),2)</f>
        <v>0</v>
      </c>
      <c r="AG44" s="97">
        <f>ROUND(IF(AQ44="2",BI44,0),2)</f>
        <v>0</v>
      </c>
      <c r="AH44" s="97">
        <f>ROUND(IF(AQ44="0",BJ44,0),2)</f>
        <v>0</v>
      </c>
      <c r="AI44" s="100" t="s">
        <v>53</v>
      </c>
      <c r="AJ44" s="97">
        <f>IF(AN44=0,L44,0)</f>
        <v>0</v>
      </c>
      <c r="AK44" s="97">
        <f>IF(AN44=12,L44,0)</f>
        <v>0</v>
      </c>
      <c r="AL44" s="97">
        <f>IF(AN44=21,L44,0)</f>
        <v>0</v>
      </c>
      <c r="AN44" s="97">
        <v>21</v>
      </c>
      <c r="AO44" s="97">
        <f>H44*0.010095238</f>
        <v>0</v>
      </c>
      <c r="AP44" s="97">
        <f>H44*(1-0.010095238)</f>
        <v>0</v>
      </c>
      <c r="AQ44" s="101" t="s">
        <v>56</v>
      </c>
      <c r="AV44" s="97">
        <f>ROUND(AW44+AX44,2)</f>
        <v>0</v>
      </c>
      <c r="AW44" s="97">
        <f>ROUND(G44*AO44,2)</f>
        <v>0</v>
      </c>
      <c r="AX44" s="97">
        <f>ROUND(G44*AP44,2)</f>
        <v>0</v>
      </c>
      <c r="AY44" s="101" t="s">
        <v>109</v>
      </c>
      <c r="AZ44" s="101" t="s">
        <v>62</v>
      </c>
      <c r="BA44" s="100" t="s">
        <v>63</v>
      </c>
      <c r="BC44" s="97">
        <f>AW44+AX44</f>
        <v>0</v>
      </c>
      <c r="BD44" s="97">
        <f>H44/(100-BE44)*100</f>
        <v>0</v>
      </c>
      <c r="BE44" s="97">
        <v>0</v>
      </c>
      <c r="BF44" s="97">
        <f>O44</f>
        <v>0</v>
      </c>
      <c r="BH44" s="97">
        <f>G44*AO44</f>
        <v>0</v>
      </c>
      <c r="BI44" s="97">
        <f>G44*AP44</f>
        <v>0</v>
      </c>
      <c r="BJ44" s="97">
        <f>G44*H44</f>
        <v>0</v>
      </c>
      <c r="BK44" s="101" t="s">
        <v>64</v>
      </c>
      <c r="BL44" s="97">
        <v>18</v>
      </c>
      <c r="BW44" s="97">
        <f>I44</f>
        <v>21</v>
      </c>
      <c r="BX44" s="96" t="s">
        <v>659</v>
      </c>
    </row>
    <row r="45" spans="1:76" s="106" customFormat="1" x14ac:dyDescent="0.25">
      <c r="A45" s="88">
        <f>A44+1</f>
        <v>13</v>
      </c>
      <c r="B45" s="89" t="s">
        <v>53</v>
      </c>
      <c r="C45" s="89" t="s">
        <v>660</v>
      </c>
      <c r="D45" s="373" t="s">
        <v>661</v>
      </c>
      <c r="E45" s="374"/>
      <c r="F45" s="89" t="s">
        <v>134</v>
      </c>
      <c r="G45" s="97">
        <v>52</v>
      </c>
      <c r="H45" s="97">
        <v>0</v>
      </c>
      <c r="I45" s="98">
        <v>21</v>
      </c>
      <c r="J45" s="97">
        <f>ROUND(G45*AO45,2)</f>
        <v>0</v>
      </c>
      <c r="K45" s="97">
        <f>ROUND(G45*AP45,2)</f>
        <v>0</v>
      </c>
      <c r="L45" s="97">
        <f>ROUND(G45*H45,2)</f>
        <v>0</v>
      </c>
      <c r="M45" s="97">
        <f>L45*(1+BW45/100)</f>
        <v>0</v>
      </c>
      <c r="N45" s="97">
        <v>2E-3</v>
      </c>
      <c r="O45" s="97">
        <f>G45*N45</f>
        <v>0.10400000000000001</v>
      </c>
      <c r="P45" s="99" t="s">
        <v>60</v>
      </c>
      <c r="Z45" s="97">
        <f>ROUND(IF(AQ45="5",BJ45,0),2)</f>
        <v>0</v>
      </c>
      <c r="AB45" s="97">
        <f>ROUND(IF(AQ45="1",BH45,0),2)</f>
        <v>0</v>
      </c>
      <c r="AC45" s="97">
        <f>ROUND(IF(AQ45="1",BI45,0),2)</f>
        <v>0</v>
      </c>
      <c r="AD45" s="97">
        <f>ROUND(IF(AQ45="7",BH45,0),2)</f>
        <v>0</v>
      </c>
      <c r="AE45" s="97">
        <f>ROUND(IF(AQ45="7",BI45,0),2)</f>
        <v>0</v>
      </c>
      <c r="AF45" s="97">
        <f>ROUND(IF(AQ45="2",BH45,0),2)</f>
        <v>0</v>
      </c>
      <c r="AG45" s="97">
        <f>ROUND(IF(AQ45="2",BI45,0),2)</f>
        <v>0</v>
      </c>
      <c r="AH45" s="97">
        <f>ROUND(IF(AQ45="0",BJ45,0),2)</f>
        <v>0</v>
      </c>
      <c r="AI45" s="100" t="s">
        <v>53</v>
      </c>
      <c r="AJ45" s="97">
        <f>IF(AN45=0,L45,0)</f>
        <v>0</v>
      </c>
      <c r="AK45" s="97">
        <f>IF(AN45=12,L45,0)</f>
        <v>0</v>
      </c>
      <c r="AL45" s="97">
        <f>IF(AN45=21,L45,0)</f>
        <v>0</v>
      </c>
      <c r="AN45" s="97">
        <v>21</v>
      </c>
      <c r="AO45" s="97">
        <f>H45*1</f>
        <v>0</v>
      </c>
      <c r="AP45" s="97">
        <f>H45*(1-1)</f>
        <v>0</v>
      </c>
      <c r="AQ45" s="101" t="s">
        <v>56</v>
      </c>
      <c r="AV45" s="97">
        <f>ROUND(AW45+AX45,2)</f>
        <v>0</v>
      </c>
      <c r="AW45" s="97">
        <f>ROUND(G45*AO45,2)</f>
        <v>0</v>
      </c>
      <c r="AX45" s="97">
        <f>ROUND(G45*AP45,2)</f>
        <v>0</v>
      </c>
      <c r="AY45" s="101" t="s">
        <v>109</v>
      </c>
      <c r="AZ45" s="101" t="s">
        <v>62</v>
      </c>
      <c r="BA45" s="100" t="s">
        <v>63</v>
      </c>
      <c r="BC45" s="97">
        <f>AW45+AX45</f>
        <v>0</v>
      </c>
      <c r="BD45" s="97">
        <f>H45/(100-BE45)*100</f>
        <v>0</v>
      </c>
      <c r="BE45" s="97">
        <v>0</v>
      </c>
      <c r="BF45" s="97">
        <f>O45</f>
        <v>0.10400000000000001</v>
      </c>
      <c r="BH45" s="97">
        <f>G45*AO45</f>
        <v>0</v>
      </c>
      <c r="BI45" s="97">
        <f>G45*AP45</f>
        <v>0</v>
      </c>
      <c r="BJ45" s="97">
        <f>G45*H45</f>
        <v>0</v>
      </c>
      <c r="BK45" s="101" t="s">
        <v>203</v>
      </c>
      <c r="BL45" s="97">
        <v>18</v>
      </c>
      <c r="BW45" s="97">
        <f>I45</f>
        <v>21</v>
      </c>
      <c r="BX45" s="96" t="s">
        <v>661</v>
      </c>
    </row>
    <row r="46" spans="1:76" x14ac:dyDescent="0.25">
      <c r="A46" s="39" t="s">
        <v>53</v>
      </c>
      <c r="B46" s="40" t="s">
        <v>53</v>
      </c>
      <c r="C46" s="40" t="s">
        <v>111</v>
      </c>
      <c r="D46" s="375" t="s">
        <v>112</v>
      </c>
      <c r="E46" s="376"/>
      <c r="F46" s="41" t="s">
        <v>3</v>
      </c>
      <c r="G46" s="41" t="s">
        <v>3</v>
      </c>
      <c r="H46" s="41" t="s">
        <v>3</v>
      </c>
      <c r="I46" s="41" t="s">
        <v>3</v>
      </c>
      <c r="J46" s="1">
        <f>SUM(J47:J47)</f>
        <v>0</v>
      </c>
      <c r="K46" s="1">
        <f>SUM(K47:K47)</f>
        <v>0</v>
      </c>
      <c r="L46" s="1">
        <f>SUM(L47:L47)</f>
        <v>0</v>
      </c>
      <c r="M46" s="1">
        <f>SUM(M47:M47)</f>
        <v>0</v>
      </c>
      <c r="N46" s="12" t="s">
        <v>53</v>
      </c>
      <c r="O46" s="1">
        <f>SUM(O47:O47)</f>
        <v>0</v>
      </c>
      <c r="P46" s="42" t="s">
        <v>53</v>
      </c>
      <c r="AI46" s="12" t="s">
        <v>53</v>
      </c>
      <c r="AS46" s="1">
        <f>SUM(AJ47:AJ47)</f>
        <v>0</v>
      </c>
      <c r="AT46" s="1">
        <f>SUM(AK47:AK47)</f>
        <v>0</v>
      </c>
      <c r="AU46" s="1">
        <f>SUM(AL47:AL47)</f>
        <v>0</v>
      </c>
      <c r="BX46" t="s">
        <v>112</v>
      </c>
    </row>
    <row r="47" spans="1:76" x14ac:dyDescent="0.25">
      <c r="A47" s="2">
        <f>A45+1</f>
        <v>14</v>
      </c>
      <c r="B47" s="3" t="s">
        <v>53</v>
      </c>
      <c r="C47" s="3" t="s">
        <v>113</v>
      </c>
      <c r="D47" s="310" t="s">
        <v>114</v>
      </c>
      <c r="E47" s="307"/>
      <c r="F47" s="3" t="s">
        <v>77</v>
      </c>
      <c r="G47" s="97">
        <v>28.080000000000002</v>
      </c>
      <c r="H47" s="31">
        <v>0</v>
      </c>
      <c r="I47" s="32">
        <v>21</v>
      </c>
      <c r="J47" s="31">
        <f>ROUND(G47*AO47,2)</f>
        <v>0</v>
      </c>
      <c r="K47" s="31">
        <f>ROUND(G47*AP47,2)</f>
        <v>0</v>
      </c>
      <c r="L47" s="31">
        <f>ROUND(G47*H47,2)</f>
        <v>0</v>
      </c>
      <c r="M47" s="31">
        <f>L47*(1+BW47/100)</f>
        <v>0</v>
      </c>
      <c r="N47" s="31">
        <v>0</v>
      </c>
      <c r="O47" s="31">
        <f>G47*N47</f>
        <v>0</v>
      </c>
      <c r="P47" s="33" t="s">
        <v>60</v>
      </c>
      <c r="Z47" s="31">
        <f>ROUND(IF(AQ47="5",BJ47,0),2)</f>
        <v>0</v>
      </c>
      <c r="AB47" s="31">
        <f>ROUND(IF(AQ47="1",BH47,0),2)</f>
        <v>0</v>
      </c>
      <c r="AC47" s="31">
        <f>ROUND(IF(AQ47="1",BI47,0),2)</f>
        <v>0</v>
      </c>
      <c r="AD47" s="31">
        <f>ROUND(IF(AQ47="7",BH47,0),2)</f>
        <v>0</v>
      </c>
      <c r="AE47" s="31">
        <f>ROUND(IF(AQ47="7",BI47,0),2)</f>
        <v>0</v>
      </c>
      <c r="AF47" s="31">
        <f>ROUND(IF(AQ47="2",BH47,0),2)</f>
        <v>0</v>
      </c>
      <c r="AG47" s="31">
        <f>ROUND(IF(AQ47="2",BI47,0),2)</f>
        <v>0</v>
      </c>
      <c r="AH47" s="31">
        <f>ROUND(IF(AQ47="0",BJ47,0),2)</f>
        <v>0</v>
      </c>
      <c r="AI47" s="12" t="s">
        <v>53</v>
      </c>
      <c r="AJ47" s="31">
        <f>IF(AN47=0,L47,0)</f>
        <v>0</v>
      </c>
      <c r="AK47" s="31">
        <f>IF(AN47=12,L47,0)</f>
        <v>0</v>
      </c>
      <c r="AL47" s="31">
        <f>IF(AN47=21,L47,0)</f>
        <v>0</v>
      </c>
      <c r="AN47" s="31">
        <v>21</v>
      </c>
      <c r="AO47" s="31">
        <f>H47*0</f>
        <v>0</v>
      </c>
      <c r="AP47" s="31">
        <f>H47*(1-0)</f>
        <v>0</v>
      </c>
      <c r="AQ47" s="34" t="s">
        <v>56</v>
      </c>
      <c r="AV47" s="31">
        <f>ROUND(AW47+AX47,2)</f>
        <v>0</v>
      </c>
      <c r="AW47" s="31">
        <f>ROUND(G47*AO47,2)</f>
        <v>0</v>
      </c>
      <c r="AX47" s="31">
        <f>ROUND(G47*AP47,2)</f>
        <v>0</v>
      </c>
      <c r="AY47" s="34" t="s">
        <v>115</v>
      </c>
      <c r="AZ47" s="34" t="s">
        <v>62</v>
      </c>
      <c r="BA47" s="12" t="s">
        <v>63</v>
      </c>
      <c r="BC47" s="31">
        <f>AW47+AX47</f>
        <v>0</v>
      </c>
      <c r="BD47" s="31">
        <f>H47/(100-BE47)*100</f>
        <v>0</v>
      </c>
      <c r="BE47" s="31">
        <v>0</v>
      </c>
      <c r="BF47" s="31">
        <f>O47</f>
        <v>0</v>
      </c>
      <c r="BH47" s="31">
        <f>G47*AO47</f>
        <v>0</v>
      </c>
      <c r="BI47" s="31">
        <f>G47*AP47</f>
        <v>0</v>
      </c>
      <c r="BJ47" s="31">
        <f>G47*H47</f>
        <v>0</v>
      </c>
      <c r="BK47" s="34" t="s">
        <v>64</v>
      </c>
      <c r="BL47" s="31">
        <v>19</v>
      </c>
      <c r="BW47" s="31">
        <f>I47</f>
        <v>21</v>
      </c>
      <c r="BX47" s="4" t="s">
        <v>114</v>
      </c>
    </row>
    <row r="48" spans="1:76" x14ac:dyDescent="0.25">
      <c r="A48" s="39" t="s">
        <v>53</v>
      </c>
      <c r="B48" s="40" t="s">
        <v>53</v>
      </c>
      <c r="C48" s="40" t="s">
        <v>116</v>
      </c>
      <c r="D48" s="375" t="s">
        <v>117</v>
      </c>
      <c r="E48" s="376"/>
      <c r="F48" s="41" t="s">
        <v>3</v>
      </c>
      <c r="G48" s="41" t="s">
        <v>3</v>
      </c>
      <c r="H48" s="41" t="s">
        <v>3</v>
      </c>
      <c r="I48" s="41" t="s">
        <v>3</v>
      </c>
      <c r="J48" s="1">
        <f>SUM(J49:J55)</f>
        <v>0</v>
      </c>
      <c r="K48" s="1">
        <f>SUM(K49:K55)</f>
        <v>0</v>
      </c>
      <c r="L48" s="1">
        <f>SUM(L49:L55)</f>
        <v>0</v>
      </c>
      <c r="M48" s="1">
        <f>SUM(M49:M55)</f>
        <v>0</v>
      </c>
      <c r="N48" s="12" t="s">
        <v>53</v>
      </c>
      <c r="O48" s="1">
        <f>SUM(O49:O55)</f>
        <v>0.63120349440000001</v>
      </c>
      <c r="P48" s="42" t="s">
        <v>53</v>
      </c>
      <c r="AI48" s="12" t="s">
        <v>53</v>
      </c>
      <c r="AS48" s="1">
        <f>SUM(AJ49:AJ55)</f>
        <v>0</v>
      </c>
      <c r="AT48" s="1">
        <f>SUM(AK49:AK55)</f>
        <v>0</v>
      </c>
      <c r="AU48" s="1">
        <f>SUM(AL49:AL55)</f>
        <v>0</v>
      </c>
      <c r="BX48" t="s">
        <v>117</v>
      </c>
    </row>
    <row r="49" spans="1:76" x14ac:dyDescent="0.25">
      <c r="A49" s="2">
        <f>A47+1</f>
        <v>15</v>
      </c>
      <c r="B49" s="3" t="s">
        <v>53</v>
      </c>
      <c r="C49" s="3" t="s">
        <v>118</v>
      </c>
      <c r="D49" s="378" t="s">
        <v>119</v>
      </c>
      <c r="E49" s="379"/>
      <c r="F49" s="285" t="s">
        <v>120</v>
      </c>
      <c r="G49" s="287">
        <v>7.9920000000000005E-2</v>
      </c>
      <c r="H49" s="31">
        <v>0</v>
      </c>
      <c r="I49" s="32">
        <v>21</v>
      </c>
      <c r="J49" s="31">
        <f>ROUND(G49*AO49,2)</f>
        <v>0</v>
      </c>
      <c r="K49" s="31">
        <f>ROUND(G49*AP49,2)</f>
        <v>0</v>
      </c>
      <c r="L49" s="31">
        <f>ROUND(G49*H49,2)</f>
        <v>0</v>
      </c>
      <c r="M49" s="31">
        <f>L49*(1+BW49/100)</f>
        <v>0</v>
      </c>
      <c r="N49" s="31">
        <v>1.09954</v>
      </c>
      <c r="O49" s="31">
        <f>G49*N49</f>
        <v>8.7875236800000006E-2</v>
      </c>
      <c r="P49" s="33" t="s">
        <v>60</v>
      </c>
      <c r="Z49" s="31">
        <f>ROUND(IF(AQ49="5",BJ49,0),2)</f>
        <v>0</v>
      </c>
      <c r="AB49" s="31">
        <f>ROUND(IF(AQ49="1",BH49,0),2)</f>
        <v>0</v>
      </c>
      <c r="AC49" s="31">
        <f>ROUND(IF(AQ49="1",BI49,0),2)</f>
        <v>0</v>
      </c>
      <c r="AD49" s="31">
        <f>ROUND(IF(AQ49="7",BH49,0),2)</f>
        <v>0</v>
      </c>
      <c r="AE49" s="31">
        <f>ROUND(IF(AQ49="7",BI49,0),2)</f>
        <v>0</v>
      </c>
      <c r="AF49" s="31">
        <f>ROUND(IF(AQ49="2",BH49,0),2)</f>
        <v>0</v>
      </c>
      <c r="AG49" s="31">
        <f>ROUND(IF(AQ49="2",BI49,0),2)</f>
        <v>0</v>
      </c>
      <c r="AH49" s="31">
        <f>ROUND(IF(AQ49="0",BJ49,0),2)</f>
        <v>0</v>
      </c>
      <c r="AI49" s="12" t="s">
        <v>53</v>
      </c>
      <c r="AJ49" s="31">
        <f>IF(AN49=0,L49,0)</f>
        <v>0</v>
      </c>
      <c r="AK49" s="31">
        <f>IF(AN49=12,L49,0)</f>
        <v>0</v>
      </c>
      <c r="AL49" s="31">
        <f>IF(AN49=21,L49,0)</f>
        <v>0</v>
      </c>
      <c r="AN49" s="31">
        <v>21</v>
      </c>
      <c r="AO49" s="31">
        <f>H49*0.716976932</f>
        <v>0</v>
      </c>
      <c r="AP49" s="31">
        <f>H49*(1-0.716976932)</f>
        <v>0</v>
      </c>
      <c r="AQ49" s="34" t="s">
        <v>56</v>
      </c>
      <c r="AV49" s="31">
        <f>ROUND(AW49+AX49,2)</f>
        <v>0</v>
      </c>
      <c r="AW49" s="31">
        <f>ROUND(G49*AO49,2)</f>
        <v>0</v>
      </c>
      <c r="AX49" s="31">
        <f>ROUND(G49*AP49,2)</f>
        <v>0</v>
      </c>
      <c r="AY49" s="34" t="s">
        <v>121</v>
      </c>
      <c r="AZ49" s="34" t="s">
        <v>122</v>
      </c>
      <c r="BA49" s="12" t="s">
        <v>63</v>
      </c>
      <c r="BC49" s="31">
        <f>AW49+AX49</f>
        <v>0</v>
      </c>
      <c r="BD49" s="31">
        <f>H49/(100-BE49)*100</f>
        <v>0</v>
      </c>
      <c r="BE49" s="31">
        <v>0</v>
      </c>
      <c r="BF49" s="31">
        <f>O49</f>
        <v>8.7875236800000006E-2</v>
      </c>
      <c r="BH49" s="31">
        <f>G49*AO49</f>
        <v>0</v>
      </c>
      <c r="BI49" s="31">
        <f>G49*AP49</f>
        <v>0</v>
      </c>
      <c r="BJ49" s="31">
        <f>G49*H49</f>
        <v>0</v>
      </c>
      <c r="BK49" s="34" t="s">
        <v>64</v>
      </c>
      <c r="BL49" s="31">
        <v>31</v>
      </c>
      <c r="BW49" s="31">
        <f>I49</f>
        <v>21</v>
      </c>
      <c r="BX49" s="4" t="s">
        <v>119</v>
      </c>
    </row>
    <row r="50" spans="1:76" x14ac:dyDescent="0.25">
      <c r="A50" s="35"/>
      <c r="D50" s="201" t="s">
        <v>1149</v>
      </c>
      <c r="E50" s="286" t="s">
        <v>53</v>
      </c>
      <c r="F50" s="288"/>
      <c r="G50" s="289">
        <v>7.9920000000000005E-2</v>
      </c>
      <c r="P50" s="38"/>
      <c r="BX50" t="s">
        <v>1149</v>
      </c>
    </row>
    <row r="51" spans="1:76" x14ac:dyDescent="0.25">
      <c r="A51" s="2">
        <f>A49+1</f>
        <v>16</v>
      </c>
      <c r="B51" s="3" t="s">
        <v>53</v>
      </c>
      <c r="C51" s="3" t="s">
        <v>123</v>
      </c>
      <c r="D51" s="378" t="s">
        <v>124</v>
      </c>
      <c r="E51" s="379"/>
      <c r="F51" s="285" t="s">
        <v>120</v>
      </c>
      <c r="G51" s="287">
        <v>0.10296000000000001</v>
      </c>
      <c r="H51" s="31">
        <v>0</v>
      </c>
      <c r="I51" s="32">
        <v>21</v>
      </c>
      <c r="J51" s="31">
        <f>ROUND(G51*AO51,2)</f>
        <v>0</v>
      </c>
      <c r="K51" s="31">
        <f>ROUND(G51*AP51,2)</f>
        <v>0</v>
      </c>
      <c r="L51" s="31">
        <f>ROUND(G51*H51,2)</f>
        <v>0</v>
      </c>
      <c r="M51" s="31">
        <f>L51*(1+BW51/100)</f>
        <v>0</v>
      </c>
      <c r="N51" s="31">
        <v>1.0970899999999999</v>
      </c>
      <c r="O51" s="31">
        <f>G51*N51</f>
        <v>0.1129563864</v>
      </c>
      <c r="P51" s="33" t="s">
        <v>60</v>
      </c>
      <c r="Z51" s="31">
        <f>ROUND(IF(AQ51="5",BJ51,0),2)</f>
        <v>0</v>
      </c>
      <c r="AB51" s="31">
        <f>ROUND(IF(AQ51="1",BH51,0),2)</f>
        <v>0</v>
      </c>
      <c r="AC51" s="31">
        <f>ROUND(IF(AQ51="1",BI51,0),2)</f>
        <v>0</v>
      </c>
      <c r="AD51" s="31">
        <f>ROUND(IF(AQ51="7",BH51,0),2)</f>
        <v>0</v>
      </c>
      <c r="AE51" s="31">
        <f>ROUND(IF(AQ51="7",BI51,0),2)</f>
        <v>0</v>
      </c>
      <c r="AF51" s="31">
        <f>ROUND(IF(AQ51="2",BH51,0),2)</f>
        <v>0</v>
      </c>
      <c r="AG51" s="31">
        <f>ROUND(IF(AQ51="2",BI51,0),2)</f>
        <v>0</v>
      </c>
      <c r="AH51" s="31">
        <f>ROUND(IF(AQ51="0",BJ51,0),2)</f>
        <v>0</v>
      </c>
      <c r="AI51" s="12" t="s">
        <v>53</v>
      </c>
      <c r="AJ51" s="31">
        <f>IF(AN51=0,L51,0)</f>
        <v>0</v>
      </c>
      <c r="AK51" s="31">
        <f>IF(AN51=12,L51,0)</f>
        <v>0</v>
      </c>
      <c r="AL51" s="31">
        <f>IF(AN51=21,L51,0)</f>
        <v>0</v>
      </c>
      <c r="AN51" s="31">
        <v>21</v>
      </c>
      <c r="AO51" s="31">
        <f>H51*0.734386962</f>
        <v>0</v>
      </c>
      <c r="AP51" s="31">
        <f>H51*(1-0.734386962)</f>
        <v>0</v>
      </c>
      <c r="AQ51" s="34" t="s">
        <v>56</v>
      </c>
      <c r="AV51" s="31">
        <f>ROUND(AW51+AX51,2)</f>
        <v>0</v>
      </c>
      <c r="AW51" s="31">
        <f>ROUND(G51*AO51,2)</f>
        <v>0</v>
      </c>
      <c r="AX51" s="31">
        <f>ROUND(G51*AP51,2)</f>
        <v>0</v>
      </c>
      <c r="AY51" s="34" t="s">
        <v>121</v>
      </c>
      <c r="AZ51" s="34" t="s">
        <v>122</v>
      </c>
      <c r="BA51" s="12" t="s">
        <v>63</v>
      </c>
      <c r="BC51" s="31">
        <f>AW51+AX51</f>
        <v>0</v>
      </c>
      <c r="BD51" s="31">
        <f>H51/(100-BE51)*100</f>
        <v>0</v>
      </c>
      <c r="BE51" s="31">
        <v>0</v>
      </c>
      <c r="BF51" s="31">
        <f>O51</f>
        <v>0.1129563864</v>
      </c>
      <c r="BH51" s="31">
        <f>G51*AO51</f>
        <v>0</v>
      </c>
      <c r="BI51" s="31">
        <f>G51*AP51</f>
        <v>0</v>
      </c>
      <c r="BJ51" s="31">
        <f>G51*H51</f>
        <v>0</v>
      </c>
      <c r="BK51" s="34" t="s">
        <v>64</v>
      </c>
      <c r="BL51" s="31">
        <v>31</v>
      </c>
      <c r="BW51" s="31">
        <f>I51</f>
        <v>21</v>
      </c>
      <c r="BX51" s="4" t="s">
        <v>124</v>
      </c>
    </row>
    <row r="52" spans="1:76" x14ac:dyDescent="0.25">
      <c r="A52" s="43"/>
      <c r="B52" s="44"/>
      <c r="C52" s="44"/>
      <c r="D52" s="201" t="s">
        <v>125</v>
      </c>
      <c r="E52" s="286" t="s">
        <v>53</v>
      </c>
      <c r="F52" s="290"/>
      <c r="G52" s="289">
        <v>0.10296000000000001</v>
      </c>
      <c r="H52" s="44"/>
      <c r="I52" s="44"/>
      <c r="J52" s="44"/>
      <c r="K52" s="44"/>
      <c r="L52" s="44"/>
      <c r="M52" s="44"/>
      <c r="N52" s="44"/>
      <c r="O52" s="44"/>
      <c r="P52" s="45"/>
      <c r="BX52" t="s">
        <v>125</v>
      </c>
    </row>
    <row r="53" spans="1:76" x14ac:dyDescent="0.25">
      <c r="A53" s="2">
        <f>A51+1</f>
        <v>17</v>
      </c>
      <c r="B53" s="3" t="s">
        <v>53</v>
      </c>
      <c r="C53" s="3" t="s">
        <v>126</v>
      </c>
      <c r="D53" s="378" t="s">
        <v>127</v>
      </c>
      <c r="E53" s="379"/>
      <c r="F53" s="285" t="s">
        <v>120</v>
      </c>
      <c r="G53" s="287">
        <v>0.15768000000000001</v>
      </c>
      <c r="H53" s="31">
        <v>0</v>
      </c>
      <c r="I53" s="32">
        <v>21</v>
      </c>
      <c r="J53" s="31">
        <f>ROUND(G53*AO53,2)</f>
        <v>0</v>
      </c>
      <c r="K53" s="31">
        <f>ROUND(G53*AP53,2)</f>
        <v>0</v>
      </c>
      <c r="L53" s="31">
        <f>ROUND(G53*H53,2)</f>
        <v>0</v>
      </c>
      <c r="M53" s="31">
        <f>L53*(1+BW53/100)</f>
        <v>0</v>
      </c>
      <c r="N53" s="31">
        <v>1.0970899999999999</v>
      </c>
      <c r="O53" s="31">
        <f>G53*N53</f>
        <v>0.1729891512</v>
      </c>
      <c r="P53" s="33" t="s">
        <v>60</v>
      </c>
      <c r="Z53" s="31">
        <f>ROUND(IF(AQ53="5",BJ53,0),2)</f>
        <v>0</v>
      </c>
      <c r="AB53" s="31">
        <f>ROUND(IF(AQ53="1",BH53,0),2)</f>
        <v>0</v>
      </c>
      <c r="AC53" s="31">
        <f>ROUND(IF(AQ53="1",BI53,0),2)</f>
        <v>0</v>
      </c>
      <c r="AD53" s="31">
        <f>ROUND(IF(AQ53="7",BH53,0),2)</f>
        <v>0</v>
      </c>
      <c r="AE53" s="31">
        <f>ROUND(IF(AQ53="7",BI53,0),2)</f>
        <v>0</v>
      </c>
      <c r="AF53" s="31">
        <f>ROUND(IF(AQ53="2",BH53,0),2)</f>
        <v>0</v>
      </c>
      <c r="AG53" s="31">
        <f>ROUND(IF(AQ53="2",BI53,0),2)</f>
        <v>0</v>
      </c>
      <c r="AH53" s="31">
        <f>ROUND(IF(AQ53="0",BJ53,0),2)</f>
        <v>0</v>
      </c>
      <c r="AI53" s="12" t="s">
        <v>53</v>
      </c>
      <c r="AJ53" s="31">
        <f>IF(AN53=0,L53,0)</f>
        <v>0</v>
      </c>
      <c r="AK53" s="31">
        <f>IF(AN53=12,L53,0)</f>
        <v>0</v>
      </c>
      <c r="AL53" s="31">
        <f>IF(AN53=21,L53,0)</f>
        <v>0</v>
      </c>
      <c r="AN53" s="31">
        <v>21</v>
      </c>
      <c r="AO53" s="31">
        <f>H53*0.746171808</f>
        <v>0</v>
      </c>
      <c r="AP53" s="31">
        <f>H53*(1-0.746171808)</f>
        <v>0</v>
      </c>
      <c r="AQ53" s="34" t="s">
        <v>56</v>
      </c>
      <c r="AV53" s="31">
        <f>ROUND(AW53+AX53,2)</f>
        <v>0</v>
      </c>
      <c r="AW53" s="31">
        <f>ROUND(G53*AO53,2)</f>
        <v>0</v>
      </c>
      <c r="AX53" s="31">
        <f>ROUND(G53*AP53,2)</f>
        <v>0</v>
      </c>
      <c r="AY53" s="34" t="s">
        <v>121</v>
      </c>
      <c r="AZ53" s="34" t="s">
        <v>122</v>
      </c>
      <c r="BA53" s="12" t="s">
        <v>63</v>
      </c>
      <c r="BC53" s="31">
        <f>AW53+AX53</f>
        <v>0</v>
      </c>
      <c r="BD53" s="31">
        <f>H53/(100-BE53)*100</f>
        <v>0</v>
      </c>
      <c r="BE53" s="31">
        <v>0</v>
      </c>
      <c r="BF53" s="31">
        <f>O53</f>
        <v>0.1729891512</v>
      </c>
      <c r="BH53" s="31">
        <f>G53*AO53</f>
        <v>0</v>
      </c>
      <c r="BI53" s="31">
        <f>G53*AP53</f>
        <v>0</v>
      </c>
      <c r="BJ53" s="31">
        <f>G53*H53</f>
        <v>0</v>
      </c>
      <c r="BK53" s="34" t="s">
        <v>64</v>
      </c>
      <c r="BL53" s="31">
        <v>31</v>
      </c>
      <c r="BW53" s="31">
        <f>I53</f>
        <v>21</v>
      </c>
      <c r="BX53" s="4" t="s">
        <v>127</v>
      </c>
    </row>
    <row r="54" spans="1:76" x14ac:dyDescent="0.25">
      <c r="A54" s="35"/>
      <c r="D54" s="201" t="s">
        <v>1150</v>
      </c>
      <c r="E54" s="286" t="s">
        <v>53</v>
      </c>
      <c r="F54" s="288"/>
      <c r="G54" s="289">
        <v>0.15768000000000001</v>
      </c>
      <c r="P54" s="38"/>
      <c r="BX54" t="s">
        <v>1150</v>
      </c>
    </row>
    <row r="55" spans="1:76" x14ac:dyDescent="0.25">
      <c r="A55" s="2">
        <f>A53+1</f>
        <v>18</v>
      </c>
      <c r="B55" s="3" t="s">
        <v>53</v>
      </c>
      <c r="C55" s="3" t="s">
        <v>128</v>
      </c>
      <c r="D55" s="310" t="s">
        <v>643</v>
      </c>
      <c r="E55" s="307"/>
      <c r="F55" s="3" t="s">
        <v>77</v>
      </c>
      <c r="G55" s="31">
        <v>9.6000000000000002E-2</v>
      </c>
      <c r="H55" s="31">
        <v>0</v>
      </c>
      <c r="I55" s="32">
        <v>21</v>
      </c>
      <c r="J55" s="31">
        <f>ROUND(G55*AO55,2)</f>
        <v>0</v>
      </c>
      <c r="K55" s="31">
        <f>ROUND(G55*AP55,2)</f>
        <v>0</v>
      </c>
      <c r="L55" s="31">
        <f>ROUND(G55*H55,2)</f>
        <v>0</v>
      </c>
      <c r="M55" s="31">
        <f>L55*(1+BW55/100)</f>
        <v>0</v>
      </c>
      <c r="N55" s="31">
        <v>2.6810700000000001</v>
      </c>
      <c r="O55" s="31">
        <f>G55*N55</f>
        <v>0.25738272000000001</v>
      </c>
      <c r="P55" s="33" t="s">
        <v>60</v>
      </c>
      <c r="Z55" s="31">
        <f>ROUND(IF(AQ55="5",BJ55,0),2)</f>
        <v>0</v>
      </c>
      <c r="AB55" s="31">
        <f>ROUND(IF(AQ55="1",BH55,0),2)</f>
        <v>0</v>
      </c>
      <c r="AC55" s="31">
        <f>ROUND(IF(AQ55="1",BI55,0),2)</f>
        <v>0</v>
      </c>
      <c r="AD55" s="31">
        <f>ROUND(IF(AQ55="7",BH55,0),2)</f>
        <v>0</v>
      </c>
      <c r="AE55" s="31">
        <f>ROUND(IF(AQ55="7",BI55,0),2)</f>
        <v>0</v>
      </c>
      <c r="AF55" s="31">
        <f>ROUND(IF(AQ55="2",BH55,0),2)</f>
        <v>0</v>
      </c>
      <c r="AG55" s="31">
        <f>ROUND(IF(AQ55="2",BI55,0),2)</f>
        <v>0</v>
      </c>
      <c r="AH55" s="31">
        <f>ROUND(IF(AQ55="0",BJ55,0),2)</f>
        <v>0</v>
      </c>
      <c r="AI55" s="12" t="s">
        <v>53</v>
      </c>
      <c r="AJ55" s="31">
        <f>IF(AN55=0,L55,0)</f>
        <v>0</v>
      </c>
      <c r="AK55" s="31">
        <f>IF(AN55=12,L55,0)</f>
        <v>0</v>
      </c>
      <c r="AL55" s="31">
        <f>IF(AN55=21,L55,0)</f>
        <v>0</v>
      </c>
      <c r="AN55" s="31">
        <v>21</v>
      </c>
      <c r="AO55" s="31">
        <f>H55*0.398695149</f>
        <v>0</v>
      </c>
      <c r="AP55" s="31">
        <f>H55*(1-0.398695149)</f>
        <v>0</v>
      </c>
      <c r="AQ55" s="34" t="s">
        <v>56</v>
      </c>
      <c r="AV55" s="31">
        <f>ROUND(AW55+AX55,2)</f>
        <v>0</v>
      </c>
      <c r="AW55" s="31">
        <f>ROUND(G55*AO55,2)</f>
        <v>0</v>
      </c>
      <c r="AX55" s="31">
        <f>ROUND(G55*AP55,2)</f>
        <v>0</v>
      </c>
      <c r="AY55" s="34" t="s">
        <v>121</v>
      </c>
      <c r="AZ55" s="34" t="s">
        <v>122</v>
      </c>
      <c r="BA55" s="12" t="s">
        <v>63</v>
      </c>
      <c r="BC55" s="31">
        <f>AW55+AX55</f>
        <v>0</v>
      </c>
      <c r="BD55" s="31">
        <f>H55/(100-BE55)*100</f>
        <v>0</v>
      </c>
      <c r="BE55" s="31">
        <v>0</v>
      </c>
      <c r="BF55" s="31">
        <f>O55</f>
        <v>0.25738272000000001</v>
      </c>
      <c r="BH55" s="31">
        <f>G55*AO55</f>
        <v>0</v>
      </c>
      <c r="BI55" s="31">
        <f>G55*AP55</f>
        <v>0</v>
      </c>
      <c r="BJ55" s="31">
        <f>G55*H55</f>
        <v>0</v>
      </c>
      <c r="BK55" s="34" t="s">
        <v>64</v>
      </c>
      <c r="BL55" s="31">
        <v>31</v>
      </c>
      <c r="BW55" s="31">
        <f>I55</f>
        <v>21</v>
      </c>
      <c r="BX55" s="4" t="s">
        <v>643</v>
      </c>
    </row>
    <row r="56" spans="1:76" x14ac:dyDescent="0.25">
      <c r="A56" s="35"/>
      <c r="D56" s="87" t="s">
        <v>129</v>
      </c>
      <c r="E56" s="36" t="s">
        <v>53</v>
      </c>
      <c r="G56" s="37">
        <v>9.6000000000000002E-2</v>
      </c>
      <c r="P56" s="38"/>
      <c r="BX56" t="s">
        <v>129</v>
      </c>
    </row>
    <row r="57" spans="1:76" s="106" customFormat="1" x14ac:dyDescent="0.25">
      <c r="A57" s="107" t="s">
        <v>53</v>
      </c>
      <c r="B57" s="108" t="s">
        <v>53</v>
      </c>
      <c r="C57" s="108" t="s">
        <v>662</v>
      </c>
      <c r="D57" s="380" t="s">
        <v>663</v>
      </c>
      <c r="E57" s="381"/>
      <c r="F57" s="109" t="s">
        <v>3</v>
      </c>
      <c r="G57" s="109" t="s">
        <v>3</v>
      </c>
      <c r="H57" s="109" t="s">
        <v>3</v>
      </c>
      <c r="I57" s="109" t="s">
        <v>3</v>
      </c>
      <c r="J57" s="110">
        <f>SUM(J58:J58)</f>
        <v>0</v>
      </c>
      <c r="K57" s="110">
        <f>SUM(K58:K58)</f>
        <v>0</v>
      </c>
      <c r="L57" s="110">
        <f>SUM(L58:L58)</f>
        <v>0</v>
      </c>
      <c r="M57" s="110">
        <f>SUM(M58:M58)</f>
        <v>0</v>
      </c>
      <c r="N57" s="100" t="s">
        <v>53</v>
      </c>
      <c r="O57" s="110">
        <f>SUM(O58:O58)</f>
        <v>0.95855000000000001</v>
      </c>
      <c r="P57" s="111" t="s">
        <v>53</v>
      </c>
      <c r="AI57" s="100" t="s">
        <v>53</v>
      </c>
      <c r="AS57" s="110">
        <f>SUM(AJ58:AJ58)</f>
        <v>0</v>
      </c>
      <c r="AT57" s="110">
        <f>SUM(AK58:AK58)</f>
        <v>0</v>
      </c>
      <c r="AU57" s="110">
        <f>SUM(AL58:AL58)</f>
        <v>0</v>
      </c>
      <c r="BX57" s="106" t="s">
        <v>663</v>
      </c>
    </row>
    <row r="58" spans="1:76" s="106" customFormat="1" x14ac:dyDescent="0.25">
      <c r="A58" s="88">
        <f>A55+1</f>
        <v>19</v>
      </c>
      <c r="B58" s="89" t="s">
        <v>53</v>
      </c>
      <c r="C58" s="89" t="s">
        <v>664</v>
      </c>
      <c r="D58" s="373" t="s">
        <v>665</v>
      </c>
      <c r="E58" s="374"/>
      <c r="F58" s="89" t="s">
        <v>134</v>
      </c>
      <c r="G58" s="97">
        <v>19</v>
      </c>
      <c r="H58" s="97">
        <v>0</v>
      </c>
      <c r="I58" s="98">
        <v>21</v>
      </c>
      <c r="J58" s="97">
        <f>ROUND(G58*AO58,2)</f>
        <v>0</v>
      </c>
      <c r="K58" s="97">
        <f>ROUND(G58*AP58,2)</f>
        <v>0</v>
      </c>
      <c r="L58" s="97">
        <f>ROUND(G58*H58,2)</f>
        <v>0</v>
      </c>
      <c r="M58" s="97">
        <f>L58*(1+BW58/100)</f>
        <v>0</v>
      </c>
      <c r="N58" s="97">
        <v>5.0450000000000002E-2</v>
      </c>
      <c r="O58" s="97">
        <f>G58*N58</f>
        <v>0.95855000000000001</v>
      </c>
      <c r="P58" s="99" t="s">
        <v>60</v>
      </c>
      <c r="Z58" s="97">
        <f>ROUND(IF(AQ58="5",BJ58,0),2)</f>
        <v>0</v>
      </c>
      <c r="AB58" s="97">
        <f>ROUND(IF(AQ58="1",BH58,0),2)</f>
        <v>0</v>
      </c>
      <c r="AC58" s="97">
        <f>ROUND(IF(AQ58="1",BI58,0),2)</f>
        <v>0</v>
      </c>
      <c r="AD58" s="97">
        <f>ROUND(IF(AQ58="7",BH58,0),2)</f>
        <v>0</v>
      </c>
      <c r="AE58" s="97">
        <f>ROUND(IF(AQ58="7",BI58,0),2)</f>
        <v>0</v>
      </c>
      <c r="AF58" s="97">
        <f>ROUND(IF(AQ58="2",BH58,0),2)</f>
        <v>0</v>
      </c>
      <c r="AG58" s="97">
        <f>ROUND(IF(AQ58="2",BI58,0),2)</f>
        <v>0</v>
      </c>
      <c r="AH58" s="97">
        <f>ROUND(IF(AQ58="0",BJ58,0),2)</f>
        <v>0</v>
      </c>
      <c r="AI58" s="100" t="s">
        <v>53</v>
      </c>
      <c r="AJ58" s="97">
        <f>IF(AN58=0,L58,0)</f>
        <v>0</v>
      </c>
      <c r="AK58" s="97">
        <f>IF(AN58=12,L58,0)</f>
        <v>0</v>
      </c>
      <c r="AL58" s="97">
        <f>IF(AN58=21,L58,0)</f>
        <v>0</v>
      </c>
      <c r="AN58" s="97">
        <v>21</v>
      </c>
      <c r="AO58" s="97">
        <f>H58*0.128131673</f>
        <v>0</v>
      </c>
      <c r="AP58" s="97">
        <f>H58*(1-0.128131673)</f>
        <v>0</v>
      </c>
      <c r="AQ58" s="101" t="s">
        <v>56</v>
      </c>
      <c r="AV58" s="97">
        <f>ROUND(AW58+AX58,2)</f>
        <v>0</v>
      </c>
      <c r="AW58" s="97">
        <f>ROUND(G58*AO58,2)</f>
        <v>0</v>
      </c>
      <c r="AX58" s="97">
        <f>ROUND(G58*AP58,2)</f>
        <v>0</v>
      </c>
      <c r="AY58" s="101" t="s">
        <v>666</v>
      </c>
      <c r="AZ58" s="101" t="s">
        <v>122</v>
      </c>
      <c r="BA58" s="100" t="s">
        <v>63</v>
      </c>
      <c r="BC58" s="97">
        <f>AW58+AX58</f>
        <v>0</v>
      </c>
      <c r="BD58" s="97">
        <f>H58/(100-BE58)*100</f>
        <v>0</v>
      </c>
      <c r="BE58" s="97">
        <v>0</v>
      </c>
      <c r="BF58" s="97">
        <f>O58</f>
        <v>0.95855000000000001</v>
      </c>
      <c r="BH58" s="97">
        <f>G58*AO58</f>
        <v>0</v>
      </c>
      <c r="BI58" s="97">
        <f>G58*AP58</f>
        <v>0</v>
      </c>
      <c r="BJ58" s="97">
        <f>G58*H58</f>
        <v>0</v>
      </c>
      <c r="BK58" s="101" t="s">
        <v>64</v>
      </c>
      <c r="BL58" s="97">
        <v>38</v>
      </c>
      <c r="BW58" s="97">
        <f>I58</f>
        <v>21</v>
      </c>
      <c r="BX58" s="96" t="s">
        <v>665</v>
      </c>
    </row>
    <row r="59" spans="1:76" s="106" customFormat="1" x14ac:dyDescent="0.25">
      <c r="A59" s="91"/>
      <c r="D59" s="92" t="s">
        <v>667</v>
      </c>
      <c r="E59" s="92" t="s">
        <v>53</v>
      </c>
      <c r="G59" s="293">
        <v>19</v>
      </c>
      <c r="P59" s="93"/>
      <c r="BX59" s="106" t="s">
        <v>667</v>
      </c>
    </row>
    <row r="60" spans="1:76" x14ac:dyDescent="0.25">
      <c r="A60" s="39" t="s">
        <v>53</v>
      </c>
      <c r="B60" s="40" t="s">
        <v>53</v>
      </c>
      <c r="C60" s="40" t="s">
        <v>130</v>
      </c>
      <c r="D60" s="375" t="s">
        <v>131</v>
      </c>
      <c r="E60" s="376"/>
      <c r="F60" s="41" t="s">
        <v>3</v>
      </c>
      <c r="G60" s="41" t="s">
        <v>3</v>
      </c>
      <c r="H60" s="41" t="s">
        <v>3</v>
      </c>
      <c r="I60" s="41" t="s">
        <v>3</v>
      </c>
      <c r="J60" s="1">
        <f>SUM(J61:J61)</f>
        <v>0</v>
      </c>
      <c r="K60" s="1">
        <f>SUM(K61:K61)</f>
        <v>0</v>
      </c>
      <c r="L60" s="1">
        <f>SUM(L61:L61)</f>
        <v>0</v>
      </c>
      <c r="M60" s="1">
        <f>SUM(M61:M61)</f>
        <v>0</v>
      </c>
      <c r="N60" s="12" t="s">
        <v>53</v>
      </c>
      <c r="O60" s="1">
        <f>SUM(O61:O61)</f>
        <v>0.84083999999999992</v>
      </c>
      <c r="P60" s="42" t="s">
        <v>53</v>
      </c>
      <c r="AI60" s="12" t="s">
        <v>53</v>
      </c>
      <c r="AS60" s="1">
        <f>SUM(AJ61:AJ61)</f>
        <v>0</v>
      </c>
      <c r="AT60" s="1">
        <f>SUM(AK61:AK61)</f>
        <v>0</v>
      </c>
      <c r="AU60" s="1">
        <f>SUM(AL61:AL61)</f>
        <v>0</v>
      </c>
      <c r="BX60" t="s">
        <v>131</v>
      </c>
    </row>
    <row r="61" spans="1:76" x14ac:dyDescent="0.25">
      <c r="A61" s="2">
        <f>A58+1</f>
        <v>20</v>
      </c>
      <c r="B61" s="3" t="s">
        <v>53</v>
      </c>
      <c r="C61" s="3" t="s">
        <v>132</v>
      </c>
      <c r="D61" s="378" t="s">
        <v>133</v>
      </c>
      <c r="E61" s="379"/>
      <c r="F61" s="285" t="s">
        <v>134</v>
      </c>
      <c r="G61" s="287">
        <v>39</v>
      </c>
      <c r="H61" s="31">
        <v>0</v>
      </c>
      <c r="I61" s="32">
        <v>21</v>
      </c>
      <c r="J61" s="31">
        <f>ROUND(G61*AO61,2)</f>
        <v>0</v>
      </c>
      <c r="K61" s="31">
        <f>ROUND(G61*AP61,2)</f>
        <v>0</v>
      </c>
      <c r="L61" s="31">
        <f>ROUND(G61*H61,2)</f>
        <v>0</v>
      </c>
      <c r="M61" s="31">
        <f>L61*(1+BW61/100)</f>
        <v>0</v>
      </c>
      <c r="N61" s="31">
        <v>2.1559999999999999E-2</v>
      </c>
      <c r="O61" s="31">
        <f>G61*N61</f>
        <v>0.84083999999999992</v>
      </c>
      <c r="P61" s="33" t="s">
        <v>60</v>
      </c>
      <c r="Z61" s="31">
        <f>ROUND(IF(AQ61="5",BJ61,0),2)</f>
        <v>0</v>
      </c>
      <c r="AB61" s="31">
        <f>ROUND(IF(AQ61="1",BH61,0),2)</f>
        <v>0</v>
      </c>
      <c r="AC61" s="31">
        <f>ROUND(IF(AQ61="1",BI61,0),2)</f>
        <v>0</v>
      </c>
      <c r="AD61" s="31">
        <f>ROUND(IF(AQ61="7",BH61,0),2)</f>
        <v>0</v>
      </c>
      <c r="AE61" s="31">
        <f>ROUND(IF(AQ61="7",BI61,0),2)</f>
        <v>0</v>
      </c>
      <c r="AF61" s="31">
        <f>ROUND(IF(AQ61="2",BH61,0),2)</f>
        <v>0</v>
      </c>
      <c r="AG61" s="31">
        <f>ROUND(IF(AQ61="2",BI61,0),2)</f>
        <v>0</v>
      </c>
      <c r="AH61" s="31">
        <f>ROUND(IF(AQ61="0",BJ61,0),2)</f>
        <v>0</v>
      </c>
      <c r="AI61" s="12" t="s">
        <v>53</v>
      </c>
      <c r="AJ61" s="31">
        <f>IF(AN61=0,L61,0)</f>
        <v>0</v>
      </c>
      <c r="AK61" s="31">
        <f>IF(AN61=12,L61,0)</f>
        <v>0</v>
      </c>
      <c r="AL61" s="31">
        <f>IF(AN61=21,L61,0)</f>
        <v>0</v>
      </c>
      <c r="AN61" s="31">
        <v>21</v>
      </c>
      <c r="AO61" s="31">
        <f>H61*0.38462963</f>
        <v>0</v>
      </c>
      <c r="AP61" s="31">
        <f>H61*(1-0.38462963)</f>
        <v>0</v>
      </c>
      <c r="AQ61" s="34" t="s">
        <v>56</v>
      </c>
      <c r="AV61" s="31">
        <f>ROUND(AW61+AX61,2)</f>
        <v>0</v>
      </c>
      <c r="AW61" s="31">
        <f>ROUND(G61*AO61,2)</f>
        <v>0</v>
      </c>
      <c r="AX61" s="31">
        <f>ROUND(G61*AP61,2)</f>
        <v>0</v>
      </c>
      <c r="AY61" s="34" t="s">
        <v>135</v>
      </c>
      <c r="AZ61" s="34" t="s">
        <v>136</v>
      </c>
      <c r="BA61" s="12" t="s">
        <v>63</v>
      </c>
      <c r="BC61" s="31">
        <f>AW61+AX61</f>
        <v>0</v>
      </c>
      <c r="BD61" s="31">
        <f>H61/(100-BE61)*100</f>
        <v>0</v>
      </c>
      <c r="BE61" s="31">
        <v>0</v>
      </c>
      <c r="BF61" s="31">
        <f>O61</f>
        <v>0.84083999999999992</v>
      </c>
      <c r="BH61" s="31">
        <f>G61*AO61</f>
        <v>0</v>
      </c>
      <c r="BI61" s="31">
        <f>G61*AP61</f>
        <v>0</v>
      </c>
      <c r="BJ61" s="31">
        <f>G61*H61</f>
        <v>0</v>
      </c>
      <c r="BK61" s="34" t="s">
        <v>64</v>
      </c>
      <c r="BL61" s="31">
        <v>41</v>
      </c>
      <c r="BW61" s="31">
        <f>I61</f>
        <v>21</v>
      </c>
      <c r="BX61" s="4" t="s">
        <v>133</v>
      </c>
    </row>
    <row r="62" spans="1:76" x14ac:dyDescent="0.25">
      <c r="A62" s="43"/>
      <c r="B62" s="44"/>
      <c r="C62" s="44"/>
      <c r="D62" s="201" t="s">
        <v>137</v>
      </c>
      <c r="E62" s="286" t="s">
        <v>53</v>
      </c>
      <c r="F62" s="290"/>
      <c r="G62" s="289">
        <v>24</v>
      </c>
      <c r="H62" s="44"/>
      <c r="I62" s="44"/>
      <c r="J62" s="44"/>
      <c r="K62" s="44"/>
      <c r="L62" s="44"/>
      <c r="M62" s="44"/>
      <c r="N62" s="44"/>
      <c r="O62" s="44"/>
      <c r="P62" s="45"/>
      <c r="BX62" t="s">
        <v>137</v>
      </c>
    </row>
    <row r="63" spans="1:76" x14ac:dyDescent="0.25">
      <c r="A63" s="43"/>
      <c r="B63" s="44"/>
      <c r="C63" s="44"/>
      <c r="D63" s="201" t="s">
        <v>138</v>
      </c>
      <c r="E63" s="286" t="s">
        <v>53</v>
      </c>
      <c r="F63" s="290"/>
      <c r="G63" s="289">
        <v>15</v>
      </c>
      <c r="H63" s="44"/>
      <c r="I63" s="44"/>
      <c r="J63" s="44"/>
      <c r="K63" s="44"/>
      <c r="L63" s="44"/>
      <c r="M63" s="44"/>
      <c r="N63" s="44"/>
      <c r="O63" s="44"/>
      <c r="P63" s="45"/>
      <c r="BX63" t="s">
        <v>138</v>
      </c>
    </row>
    <row r="64" spans="1:76" x14ac:dyDescent="0.25">
      <c r="A64" s="39" t="s">
        <v>53</v>
      </c>
      <c r="B64" s="40" t="s">
        <v>53</v>
      </c>
      <c r="C64" s="40" t="s">
        <v>139</v>
      </c>
      <c r="D64" s="375" t="s">
        <v>140</v>
      </c>
      <c r="E64" s="376"/>
      <c r="F64" s="41" t="s">
        <v>3</v>
      </c>
      <c r="G64" s="41" t="s">
        <v>3</v>
      </c>
      <c r="H64" s="41" t="s">
        <v>3</v>
      </c>
      <c r="I64" s="41" t="s">
        <v>3</v>
      </c>
      <c r="J64" s="1">
        <f>SUM(J65:J69)</f>
        <v>0</v>
      </c>
      <c r="K64" s="1">
        <f>SUM(K65:K69)</f>
        <v>0</v>
      </c>
      <c r="L64" s="1">
        <f>SUM(L65:L69)</f>
        <v>0</v>
      </c>
      <c r="M64" s="1">
        <f>SUM(M65:M69)</f>
        <v>0</v>
      </c>
      <c r="N64" s="12" t="s">
        <v>53</v>
      </c>
      <c r="O64" s="1">
        <f>SUM(O65:O69)</f>
        <v>58.665199999999999</v>
      </c>
      <c r="P64" s="42" t="s">
        <v>53</v>
      </c>
      <c r="AI64" s="12" t="s">
        <v>53</v>
      </c>
      <c r="AS64" s="1">
        <f>SUM(AJ65:AJ69)</f>
        <v>0</v>
      </c>
      <c r="AT64" s="1">
        <f>SUM(AK65:AK69)</f>
        <v>0</v>
      </c>
      <c r="AU64" s="1">
        <f>SUM(AL65:AL69)</f>
        <v>0</v>
      </c>
      <c r="BX64" t="s">
        <v>140</v>
      </c>
    </row>
    <row r="65" spans="1:76" x14ac:dyDescent="0.25">
      <c r="A65" s="2">
        <f>A61+1</f>
        <v>21</v>
      </c>
      <c r="B65" s="3" t="s">
        <v>53</v>
      </c>
      <c r="C65" s="3" t="s">
        <v>141</v>
      </c>
      <c r="D65" s="310" t="s">
        <v>142</v>
      </c>
      <c r="E65" s="307"/>
      <c r="F65" s="3" t="s">
        <v>120</v>
      </c>
      <c r="G65" s="31">
        <v>25.611999999999998</v>
      </c>
      <c r="H65" s="31">
        <v>0</v>
      </c>
      <c r="I65" s="32">
        <v>21</v>
      </c>
      <c r="J65" s="31">
        <f>ROUND(G65*AO65,2)</f>
        <v>0</v>
      </c>
      <c r="K65" s="31">
        <f>ROUND(G65*AP65,2)</f>
        <v>0</v>
      </c>
      <c r="L65" s="31">
        <f>ROUND(G65*H65,2)</f>
        <v>0</v>
      </c>
      <c r="M65" s="31">
        <f>L65*(1+BW65/100)</f>
        <v>0</v>
      </c>
      <c r="N65" s="31">
        <v>1.1000000000000001</v>
      </c>
      <c r="O65" s="31">
        <f>G65*N65</f>
        <v>28.173200000000001</v>
      </c>
      <c r="P65" s="33" t="s">
        <v>60</v>
      </c>
      <c r="Z65" s="31">
        <f>ROUND(IF(AQ65="5",BJ65,0),2)</f>
        <v>0</v>
      </c>
      <c r="AB65" s="31">
        <f>ROUND(IF(AQ65="1",BH65,0),2)</f>
        <v>0</v>
      </c>
      <c r="AC65" s="31">
        <f>ROUND(IF(AQ65="1",BI65,0),2)</f>
        <v>0</v>
      </c>
      <c r="AD65" s="31">
        <f>ROUND(IF(AQ65="7",BH65,0),2)</f>
        <v>0</v>
      </c>
      <c r="AE65" s="31">
        <f>ROUND(IF(AQ65="7",BI65,0),2)</f>
        <v>0</v>
      </c>
      <c r="AF65" s="31">
        <f>ROUND(IF(AQ65="2",BH65,0),2)</f>
        <v>0</v>
      </c>
      <c r="AG65" s="31">
        <f>ROUND(IF(AQ65="2",BI65,0),2)</f>
        <v>0</v>
      </c>
      <c r="AH65" s="31">
        <f>ROUND(IF(AQ65="0",BJ65,0),2)</f>
        <v>0</v>
      </c>
      <c r="AI65" s="12" t="s">
        <v>53</v>
      </c>
      <c r="AJ65" s="31">
        <f>IF(AN65=0,L65,0)</f>
        <v>0</v>
      </c>
      <c r="AK65" s="31">
        <f>IF(AN65=12,L65,0)</f>
        <v>0</v>
      </c>
      <c r="AL65" s="31">
        <f>IF(AN65=21,L65,0)</f>
        <v>0</v>
      </c>
      <c r="AN65" s="31">
        <v>21</v>
      </c>
      <c r="AO65" s="31">
        <f>H65*0.86532645</f>
        <v>0</v>
      </c>
      <c r="AP65" s="31">
        <f>H65*(1-0.86532645)</f>
        <v>0</v>
      </c>
      <c r="AQ65" s="34" t="s">
        <v>56</v>
      </c>
      <c r="AV65" s="31">
        <f>ROUND(AW65+AX65,2)</f>
        <v>0</v>
      </c>
      <c r="AW65" s="31">
        <f>ROUND(G65*AO65,2)</f>
        <v>0</v>
      </c>
      <c r="AX65" s="31">
        <f>ROUND(G65*AP65,2)</f>
        <v>0</v>
      </c>
      <c r="AY65" s="34" t="s">
        <v>143</v>
      </c>
      <c r="AZ65" s="34" t="s">
        <v>144</v>
      </c>
      <c r="BA65" s="12" t="s">
        <v>63</v>
      </c>
      <c r="BC65" s="31">
        <f>AW65+AX65</f>
        <v>0</v>
      </c>
      <c r="BD65" s="31">
        <f>H65/(100-BE65)*100</f>
        <v>0</v>
      </c>
      <c r="BE65" s="31">
        <v>0</v>
      </c>
      <c r="BF65" s="31">
        <f>O65</f>
        <v>28.173200000000001</v>
      </c>
      <c r="BH65" s="31">
        <f>G65*AO65</f>
        <v>0</v>
      </c>
      <c r="BI65" s="31">
        <f>G65*AP65</f>
        <v>0</v>
      </c>
      <c r="BJ65" s="31">
        <f>G65*H65</f>
        <v>0</v>
      </c>
      <c r="BK65" s="34" t="s">
        <v>64</v>
      </c>
      <c r="BL65" s="31">
        <v>56</v>
      </c>
      <c r="BW65" s="31">
        <f>I65</f>
        <v>21</v>
      </c>
      <c r="BX65" s="4" t="s">
        <v>142</v>
      </c>
    </row>
    <row r="66" spans="1:76" x14ac:dyDescent="0.25">
      <c r="A66" s="35"/>
      <c r="D66" s="87" t="s">
        <v>145</v>
      </c>
      <c r="E66" s="36" t="s">
        <v>53</v>
      </c>
      <c r="G66" s="37">
        <v>16.596</v>
      </c>
      <c r="P66" s="38"/>
      <c r="BX66" t="s">
        <v>145</v>
      </c>
    </row>
    <row r="67" spans="1:76" x14ac:dyDescent="0.25">
      <c r="A67" s="35"/>
      <c r="D67" s="87" t="s">
        <v>146</v>
      </c>
      <c r="E67" s="36" t="s">
        <v>53</v>
      </c>
      <c r="G67" s="37">
        <v>7.36</v>
      </c>
      <c r="P67" s="38"/>
      <c r="BX67" t="s">
        <v>146</v>
      </c>
    </row>
    <row r="68" spans="1:76" ht="14.25" customHeight="1" x14ac:dyDescent="0.25">
      <c r="A68" s="35"/>
      <c r="D68" s="87" t="s">
        <v>147</v>
      </c>
      <c r="E68" s="36" t="s">
        <v>53</v>
      </c>
      <c r="G68" s="37">
        <v>1.6559999999999999</v>
      </c>
      <c r="P68" s="38"/>
      <c r="BX68" t="s">
        <v>147</v>
      </c>
    </row>
    <row r="69" spans="1:76" x14ac:dyDescent="0.25">
      <c r="A69" s="2">
        <f>A65+1</f>
        <v>22</v>
      </c>
      <c r="B69" s="3" t="s">
        <v>53</v>
      </c>
      <c r="C69" s="3" t="s">
        <v>148</v>
      </c>
      <c r="D69" s="310" t="s">
        <v>149</v>
      </c>
      <c r="E69" s="307"/>
      <c r="F69" s="3" t="s">
        <v>120</v>
      </c>
      <c r="G69" s="31">
        <v>30.492000000000001</v>
      </c>
      <c r="H69" s="31">
        <v>0</v>
      </c>
      <c r="I69" s="32">
        <v>21</v>
      </c>
      <c r="J69" s="31">
        <f>ROUND(G69*AO69,2)</f>
        <v>0</v>
      </c>
      <c r="K69" s="31">
        <f>ROUND(G69*AP69,2)</f>
        <v>0</v>
      </c>
      <c r="L69" s="31">
        <f>ROUND(G69*H69,2)</f>
        <v>0</v>
      </c>
      <c r="M69" s="31">
        <f>L69*(1+BW69/100)</f>
        <v>0</v>
      </c>
      <c r="N69" s="31">
        <v>1</v>
      </c>
      <c r="O69" s="31">
        <f>G69*N69</f>
        <v>30.492000000000001</v>
      </c>
      <c r="P69" s="33" t="s">
        <v>60</v>
      </c>
      <c r="Z69" s="31">
        <f>ROUND(IF(AQ69="5",BJ69,0),2)</f>
        <v>0</v>
      </c>
      <c r="AB69" s="31">
        <f>ROUND(IF(AQ69="1",BH69,0),2)</f>
        <v>0</v>
      </c>
      <c r="AC69" s="31">
        <f>ROUND(IF(AQ69="1",BI69,0),2)</f>
        <v>0</v>
      </c>
      <c r="AD69" s="31">
        <f>ROUND(IF(AQ69="7",BH69,0),2)</f>
        <v>0</v>
      </c>
      <c r="AE69" s="31">
        <f>ROUND(IF(AQ69="7",BI69,0),2)</f>
        <v>0</v>
      </c>
      <c r="AF69" s="31">
        <f>ROUND(IF(AQ69="2",BH69,0),2)</f>
        <v>0</v>
      </c>
      <c r="AG69" s="31">
        <f>ROUND(IF(AQ69="2",BI69,0),2)</f>
        <v>0</v>
      </c>
      <c r="AH69" s="31">
        <f>ROUND(IF(AQ69="0",BJ69,0),2)</f>
        <v>0</v>
      </c>
      <c r="AI69" s="12" t="s">
        <v>53</v>
      </c>
      <c r="AJ69" s="31">
        <f>IF(AN69=0,L69,0)</f>
        <v>0</v>
      </c>
      <c r="AK69" s="31">
        <f>IF(AN69=12,L69,0)</f>
        <v>0</v>
      </c>
      <c r="AL69" s="31">
        <f>IF(AN69=21,L69,0)</f>
        <v>0</v>
      </c>
      <c r="AN69" s="31">
        <v>21</v>
      </c>
      <c r="AO69" s="31">
        <f>H69*0.61468484</f>
        <v>0</v>
      </c>
      <c r="AP69" s="31">
        <f>H69*(1-0.61468484)</f>
        <v>0</v>
      </c>
      <c r="AQ69" s="34" t="s">
        <v>56</v>
      </c>
      <c r="AV69" s="31">
        <f>ROUND(AW69+AX69,2)</f>
        <v>0</v>
      </c>
      <c r="AW69" s="31">
        <f>ROUND(G69*AO69,2)</f>
        <v>0</v>
      </c>
      <c r="AX69" s="31">
        <f>ROUND(G69*AP69,2)</f>
        <v>0</v>
      </c>
      <c r="AY69" s="34" t="s">
        <v>143</v>
      </c>
      <c r="AZ69" s="34" t="s">
        <v>144</v>
      </c>
      <c r="BA69" s="12" t="s">
        <v>63</v>
      </c>
      <c r="BC69" s="31">
        <f>AW69+AX69</f>
        <v>0</v>
      </c>
      <c r="BD69" s="31">
        <f>H69/(100-BE69)*100</f>
        <v>0</v>
      </c>
      <c r="BE69" s="31">
        <v>0</v>
      </c>
      <c r="BF69" s="31">
        <f>O69</f>
        <v>30.492000000000001</v>
      </c>
      <c r="BH69" s="31">
        <f>G69*AO69</f>
        <v>0</v>
      </c>
      <c r="BI69" s="31">
        <f>G69*AP69</f>
        <v>0</v>
      </c>
      <c r="BJ69" s="31">
        <f>G69*H69</f>
        <v>0</v>
      </c>
      <c r="BK69" s="34" t="s">
        <v>64</v>
      </c>
      <c r="BL69" s="31">
        <v>56</v>
      </c>
      <c r="BW69" s="31">
        <f>I69</f>
        <v>21</v>
      </c>
      <c r="BX69" s="4" t="s">
        <v>149</v>
      </c>
    </row>
    <row r="70" spans="1:76" x14ac:dyDescent="0.25">
      <c r="A70" s="35"/>
      <c r="D70" s="87" t="s">
        <v>150</v>
      </c>
      <c r="E70" s="36" t="s">
        <v>53</v>
      </c>
      <c r="G70" s="37">
        <v>17.782</v>
      </c>
      <c r="P70" s="38"/>
      <c r="BX70" t="s">
        <v>150</v>
      </c>
    </row>
    <row r="71" spans="1:76" x14ac:dyDescent="0.25">
      <c r="A71" s="35"/>
      <c r="D71" s="87" t="s">
        <v>151</v>
      </c>
      <c r="E71" s="36" t="s">
        <v>53</v>
      </c>
      <c r="G71" s="37">
        <v>8.4380000000000006</v>
      </c>
      <c r="P71" s="38"/>
      <c r="BX71" t="s">
        <v>151</v>
      </c>
    </row>
    <row r="72" spans="1:76" x14ac:dyDescent="0.25">
      <c r="A72" s="35"/>
      <c r="D72" s="87" t="s">
        <v>152</v>
      </c>
      <c r="E72" s="36" t="s">
        <v>53</v>
      </c>
      <c r="G72" s="37">
        <v>4.2720000000000002</v>
      </c>
      <c r="P72" s="38"/>
      <c r="BX72" t="s">
        <v>152</v>
      </c>
    </row>
    <row r="73" spans="1:76" x14ac:dyDescent="0.25">
      <c r="A73" s="39" t="s">
        <v>53</v>
      </c>
      <c r="B73" s="40" t="s">
        <v>53</v>
      </c>
      <c r="C73" s="40" t="s">
        <v>153</v>
      </c>
      <c r="D73" s="375" t="s">
        <v>154</v>
      </c>
      <c r="E73" s="376"/>
      <c r="F73" s="41" t="s">
        <v>3</v>
      </c>
      <c r="G73" s="41" t="s">
        <v>3</v>
      </c>
      <c r="H73" s="41" t="s">
        <v>3</v>
      </c>
      <c r="I73" s="41" t="s">
        <v>3</v>
      </c>
      <c r="J73" s="1">
        <f>SUM(J74:J74)</f>
        <v>0</v>
      </c>
      <c r="K73" s="1">
        <f>SUM(K74:K74)</f>
        <v>0</v>
      </c>
      <c r="L73" s="1">
        <f>SUM(L74:L74)</f>
        <v>0</v>
      </c>
      <c r="M73" s="1">
        <f>SUM(M74:M74)</f>
        <v>0</v>
      </c>
      <c r="N73" s="12" t="s">
        <v>53</v>
      </c>
      <c r="O73" s="1">
        <f>SUM(O74:O74)</f>
        <v>5.1480100000000002</v>
      </c>
      <c r="P73" s="42" t="s">
        <v>53</v>
      </c>
      <c r="AI73" s="12" t="s">
        <v>53</v>
      </c>
      <c r="AS73" s="1">
        <f>SUM(AJ74:AJ74)</f>
        <v>0</v>
      </c>
      <c r="AT73" s="1">
        <f>SUM(AK74:AK74)</f>
        <v>0</v>
      </c>
      <c r="AU73" s="1">
        <f>SUM(AL74:AL74)</f>
        <v>0</v>
      </c>
      <c r="BX73" t="s">
        <v>154</v>
      </c>
    </row>
    <row r="74" spans="1:76" x14ac:dyDescent="0.25">
      <c r="A74" s="2">
        <f>A69+1</f>
        <v>23</v>
      </c>
      <c r="B74" s="3" t="s">
        <v>53</v>
      </c>
      <c r="C74" s="3" t="s">
        <v>155</v>
      </c>
      <c r="D74" s="310" t="s">
        <v>156</v>
      </c>
      <c r="E74" s="307"/>
      <c r="F74" s="3" t="s">
        <v>59</v>
      </c>
      <c r="G74" s="31">
        <v>50.2</v>
      </c>
      <c r="H74" s="31">
        <v>0</v>
      </c>
      <c r="I74" s="32">
        <v>21</v>
      </c>
      <c r="J74" s="31">
        <f>ROUND(G74*AO74,2)</f>
        <v>0</v>
      </c>
      <c r="K74" s="31">
        <f>ROUND(G74*AP74,2)</f>
        <v>0</v>
      </c>
      <c r="L74" s="31">
        <f>ROUND(G74*H74,2)</f>
        <v>0</v>
      </c>
      <c r="M74" s="31">
        <f>L74*(1+BW74/100)</f>
        <v>0</v>
      </c>
      <c r="N74" s="31">
        <v>0.10255</v>
      </c>
      <c r="O74" s="31">
        <f>G74*N74</f>
        <v>5.1480100000000002</v>
      </c>
      <c r="P74" s="33" t="s">
        <v>60</v>
      </c>
      <c r="Z74" s="31">
        <f>ROUND(IF(AQ74="5",BJ74,0),2)</f>
        <v>0</v>
      </c>
      <c r="AB74" s="31">
        <f>ROUND(IF(AQ74="1",BH74,0),2)</f>
        <v>0</v>
      </c>
      <c r="AC74" s="31">
        <f>ROUND(IF(AQ74="1",BI74,0),2)</f>
        <v>0</v>
      </c>
      <c r="AD74" s="31">
        <f>ROUND(IF(AQ74="7",BH74,0),2)</f>
        <v>0</v>
      </c>
      <c r="AE74" s="31">
        <f>ROUND(IF(AQ74="7",BI74,0),2)</f>
        <v>0</v>
      </c>
      <c r="AF74" s="31">
        <f>ROUND(IF(AQ74="2",BH74,0),2)</f>
        <v>0</v>
      </c>
      <c r="AG74" s="31">
        <f>ROUND(IF(AQ74="2",BI74,0),2)</f>
        <v>0</v>
      </c>
      <c r="AH74" s="31">
        <f>ROUND(IF(AQ74="0",BJ74,0),2)</f>
        <v>0</v>
      </c>
      <c r="AI74" s="12" t="s">
        <v>53</v>
      </c>
      <c r="AJ74" s="31">
        <f>IF(AN74=0,L74,0)</f>
        <v>0</v>
      </c>
      <c r="AK74" s="31">
        <f>IF(AN74=12,L74,0)</f>
        <v>0</v>
      </c>
      <c r="AL74" s="31">
        <f>IF(AN74=21,L74,0)</f>
        <v>0</v>
      </c>
      <c r="AN74" s="31">
        <v>21</v>
      </c>
      <c r="AO74" s="31">
        <f>H74*0.429415262</f>
        <v>0</v>
      </c>
      <c r="AP74" s="31">
        <f>H74*(1-0.429415262)</f>
        <v>0</v>
      </c>
      <c r="AQ74" s="34" t="s">
        <v>56</v>
      </c>
      <c r="AV74" s="31">
        <f>ROUND(AW74+AX74,2)</f>
        <v>0</v>
      </c>
      <c r="AW74" s="31">
        <f>ROUND(G74*AO74,2)</f>
        <v>0</v>
      </c>
      <c r="AX74" s="31">
        <f>ROUND(G74*AP74,2)</f>
        <v>0</v>
      </c>
      <c r="AY74" s="34" t="s">
        <v>157</v>
      </c>
      <c r="AZ74" s="34" t="s">
        <v>144</v>
      </c>
      <c r="BA74" s="12" t="s">
        <v>63</v>
      </c>
      <c r="BC74" s="31">
        <f>AW74+AX74</f>
        <v>0</v>
      </c>
      <c r="BD74" s="31">
        <f>H74/(100-BE74)*100</f>
        <v>0</v>
      </c>
      <c r="BE74" s="31">
        <v>0</v>
      </c>
      <c r="BF74" s="31">
        <f>O74</f>
        <v>5.1480100000000002</v>
      </c>
      <c r="BH74" s="31">
        <f>G74*AO74</f>
        <v>0</v>
      </c>
      <c r="BI74" s="31">
        <f>G74*AP74</f>
        <v>0</v>
      </c>
      <c r="BJ74" s="31">
        <f>G74*H74</f>
        <v>0</v>
      </c>
      <c r="BK74" s="34" t="s">
        <v>64</v>
      </c>
      <c r="BL74" s="31">
        <v>57</v>
      </c>
      <c r="BW74" s="31">
        <f>I74</f>
        <v>21</v>
      </c>
      <c r="BX74" s="4" t="s">
        <v>156</v>
      </c>
    </row>
    <row r="75" spans="1:76" x14ac:dyDescent="0.25">
      <c r="A75" s="35"/>
      <c r="D75" s="87" t="s">
        <v>65</v>
      </c>
      <c r="E75" s="36" t="s">
        <v>53</v>
      </c>
      <c r="G75" s="37">
        <v>26.1</v>
      </c>
      <c r="P75" s="38"/>
      <c r="BX75" t="s">
        <v>65</v>
      </c>
    </row>
    <row r="76" spans="1:76" x14ac:dyDescent="0.25">
      <c r="A76" s="35"/>
      <c r="D76" s="87" t="s">
        <v>66</v>
      </c>
      <c r="E76" s="36" t="s">
        <v>53</v>
      </c>
      <c r="G76" s="37">
        <v>16</v>
      </c>
      <c r="P76" s="38"/>
      <c r="BX76" t="s">
        <v>66</v>
      </c>
    </row>
    <row r="77" spans="1:76" x14ac:dyDescent="0.25">
      <c r="A77" s="35"/>
      <c r="D77" s="87" t="s">
        <v>158</v>
      </c>
      <c r="E77" s="36" t="s">
        <v>53</v>
      </c>
      <c r="G77" s="37">
        <v>8.1</v>
      </c>
      <c r="P77" s="38"/>
      <c r="BX77" t="s">
        <v>158</v>
      </c>
    </row>
    <row r="78" spans="1:76" x14ac:dyDescent="0.25">
      <c r="A78" s="39" t="s">
        <v>53</v>
      </c>
      <c r="B78" s="40" t="s">
        <v>53</v>
      </c>
      <c r="C78" s="40" t="s">
        <v>159</v>
      </c>
      <c r="D78" s="375" t="s">
        <v>160</v>
      </c>
      <c r="E78" s="376"/>
      <c r="F78" s="41" t="s">
        <v>3</v>
      </c>
      <c r="G78" s="41" t="s">
        <v>3</v>
      </c>
      <c r="H78" s="41" t="s">
        <v>3</v>
      </c>
      <c r="I78" s="41" t="s">
        <v>3</v>
      </c>
      <c r="J78" s="1">
        <f>SUM(J79:J79)</f>
        <v>0</v>
      </c>
      <c r="K78" s="1">
        <f>SUM(K79:K79)</f>
        <v>0</v>
      </c>
      <c r="L78" s="1">
        <f>SUM(L79:L79)</f>
        <v>0</v>
      </c>
      <c r="M78" s="1">
        <f>SUM(M79:M79)</f>
        <v>0</v>
      </c>
      <c r="N78" s="12" t="s">
        <v>53</v>
      </c>
      <c r="O78" s="1">
        <f>SUM(O79:O79)</f>
        <v>0</v>
      </c>
      <c r="P78" s="42" t="s">
        <v>53</v>
      </c>
      <c r="AI78" s="12" t="s">
        <v>53</v>
      </c>
      <c r="AS78" s="1">
        <f>SUM(AJ79:AJ79)</f>
        <v>0</v>
      </c>
      <c r="AT78" s="1">
        <f>SUM(AK79:AK79)</f>
        <v>0</v>
      </c>
      <c r="AU78" s="1">
        <f>SUM(AL79:AL79)</f>
        <v>0</v>
      </c>
      <c r="BX78" t="s">
        <v>160</v>
      </c>
    </row>
    <row r="79" spans="1:76" x14ac:dyDescent="0.25">
      <c r="A79" s="2">
        <f>A74+1</f>
        <v>24</v>
      </c>
      <c r="B79" s="3" t="s">
        <v>53</v>
      </c>
      <c r="C79" s="3" t="s">
        <v>161</v>
      </c>
      <c r="D79" s="310" t="s">
        <v>162</v>
      </c>
      <c r="E79" s="307"/>
      <c r="F79" s="3" t="s">
        <v>71</v>
      </c>
      <c r="G79" s="31">
        <v>72</v>
      </c>
      <c r="H79" s="31">
        <v>0</v>
      </c>
      <c r="I79" s="32">
        <v>21</v>
      </c>
      <c r="J79" s="31">
        <f>ROUND(G79*AO79,2)</f>
        <v>0</v>
      </c>
      <c r="K79" s="31">
        <f>ROUND(G79*AP79,2)</f>
        <v>0</v>
      </c>
      <c r="L79" s="31">
        <f>ROUND(G79*H79,2)</f>
        <v>0</v>
      </c>
      <c r="M79" s="31">
        <f>L79*(1+BW79/100)</f>
        <v>0</v>
      </c>
      <c r="N79" s="31">
        <v>0</v>
      </c>
      <c r="O79" s="31">
        <f>G79*N79</f>
        <v>0</v>
      </c>
      <c r="P79" s="33" t="s">
        <v>53</v>
      </c>
      <c r="Z79" s="31">
        <f>ROUND(IF(AQ79="5",BJ79,0),2)</f>
        <v>0</v>
      </c>
      <c r="AB79" s="31">
        <f>ROUND(IF(AQ79="1",BH79,0),2)</f>
        <v>0</v>
      </c>
      <c r="AC79" s="31">
        <f>ROUND(IF(AQ79="1",BI79,0),2)</f>
        <v>0</v>
      </c>
      <c r="AD79" s="31">
        <f>ROUND(IF(AQ79="7",BH79,0),2)</f>
        <v>0</v>
      </c>
      <c r="AE79" s="31">
        <f>ROUND(IF(AQ79="7",BI79,0),2)</f>
        <v>0</v>
      </c>
      <c r="AF79" s="31">
        <f>ROUND(IF(AQ79="2",BH79,0),2)</f>
        <v>0</v>
      </c>
      <c r="AG79" s="31">
        <f>ROUND(IF(AQ79="2",BI79,0),2)</f>
        <v>0</v>
      </c>
      <c r="AH79" s="31">
        <f>ROUND(IF(AQ79="0",BJ79,0),2)</f>
        <v>0</v>
      </c>
      <c r="AI79" s="12" t="s">
        <v>53</v>
      </c>
      <c r="AJ79" s="31">
        <f>IF(AN79=0,L79,0)</f>
        <v>0</v>
      </c>
      <c r="AK79" s="31">
        <f>IF(AN79=12,L79,0)</f>
        <v>0</v>
      </c>
      <c r="AL79" s="31">
        <f>IF(AN79=21,L79,0)</f>
        <v>0</v>
      </c>
      <c r="AN79" s="31">
        <v>21</v>
      </c>
      <c r="AO79" s="31">
        <f>H79*0</f>
        <v>0</v>
      </c>
      <c r="AP79" s="31">
        <f>H79*(1-0)</f>
        <v>0</v>
      </c>
      <c r="AQ79" s="34" t="s">
        <v>56</v>
      </c>
      <c r="AV79" s="31">
        <f>ROUND(AW79+AX79,2)</f>
        <v>0</v>
      </c>
      <c r="AW79" s="31">
        <f>ROUND(G79*AO79,2)</f>
        <v>0</v>
      </c>
      <c r="AX79" s="31">
        <f>ROUND(G79*AP79,2)</f>
        <v>0</v>
      </c>
      <c r="AY79" s="34" t="s">
        <v>163</v>
      </c>
      <c r="AZ79" s="34" t="s">
        <v>144</v>
      </c>
      <c r="BA79" s="12" t="s">
        <v>63</v>
      </c>
      <c r="BC79" s="31">
        <f>AW79+AX79</f>
        <v>0</v>
      </c>
      <c r="BD79" s="31">
        <f>H79/(100-BE79)*100</f>
        <v>0</v>
      </c>
      <c r="BE79" s="31">
        <v>0</v>
      </c>
      <c r="BF79" s="31">
        <f>O79</f>
        <v>0</v>
      </c>
      <c r="BH79" s="31">
        <f>G79*AO79</f>
        <v>0</v>
      </c>
      <c r="BI79" s="31">
        <f>G79*AP79</f>
        <v>0</v>
      </c>
      <c r="BJ79" s="31">
        <f>G79*H79</f>
        <v>0</v>
      </c>
      <c r="BK79" s="34" t="s">
        <v>64</v>
      </c>
      <c r="BL79" s="31">
        <v>572</v>
      </c>
      <c r="BW79" s="31">
        <f>I79</f>
        <v>21</v>
      </c>
      <c r="BX79" s="4" t="s">
        <v>162</v>
      </c>
    </row>
    <row r="80" spans="1:76" x14ac:dyDescent="0.25">
      <c r="A80" s="35"/>
      <c r="D80" s="87" t="s">
        <v>164</v>
      </c>
      <c r="E80" s="36" t="s">
        <v>53</v>
      </c>
      <c r="G80" s="37">
        <v>39.799999999999997</v>
      </c>
      <c r="P80" s="38"/>
      <c r="BX80" t="s">
        <v>164</v>
      </c>
    </row>
    <row r="81" spans="1:76" x14ac:dyDescent="0.25">
      <c r="A81" s="35"/>
      <c r="D81" s="87" t="s">
        <v>165</v>
      </c>
      <c r="E81" s="36" t="s">
        <v>53</v>
      </c>
      <c r="G81" s="37">
        <v>22.4</v>
      </c>
      <c r="P81" s="38"/>
      <c r="BX81" t="s">
        <v>165</v>
      </c>
    </row>
    <row r="82" spans="1:76" x14ac:dyDescent="0.25">
      <c r="A82" s="35"/>
      <c r="D82" s="87" t="s">
        <v>166</v>
      </c>
      <c r="E82" s="36" t="s">
        <v>53</v>
      </c>
      <c r="G82" s="37">
        <v>9.8000000000000007</v>
      </c>
      <c r="P82" s="38"/>
      <c r="BX82" t="s">
        <v>166</v>
      </c>
    </row>
    <row r="83" spans="1:76" x14ac:dyDescent="0.25">
      <c r="A83" s="39" t="s">
        <v>53</v>
      </c>
      <c r="B83" s="40" t="s">
        <v>53</v>
      </c>
      <c r="C83" s="40" t="s">
        <v>167</v>
      </c>
      <c r="D83" s="375" t="s">
        <v>168</v>
      </c>
      <c r="E83" s="376"/>
      <c r="F83" s="41" t="s">
        <v>3</v>
      </c>
      <c r="G83" s="41" t="s">
        <v>3</v>
      </c>
      <c r="H83" s="41" t="s">
        <v>3</v>
      </c>
      <c r="I83" s="41" t="s">
        <v>3</v>
      </c>
      <c r="J83" s="1">
        <f>SUM(J84:J84)</f>
        <v>0</v>
      </c>
      <c r="K83" s="1">
        <f>SUM(K84:K84)</f>
        <v>0</v>
      </c>
      <c r="L83" s="1">
        <f>SUM(L84:L84)</f>
        <v>0</v>
      </c>
      <c r="M83" s="1">
        <f>SUM(M84:M84)</f>
        <v>0</v>
      </c>
      <c r="N83" s="12" t="s">
        <v>53</v>
      </c>
      <c r="O83" s="1">
        <f>SUM(O84:O84)</f>
        <v>14.586924999999999</v>
      </c>
      <c r="P83" s="42" t="s">
        <v>53</v>
      </c>
      <c r="AI83" s="12" t="s">
        <v>53</v>
      </c>
      <c r="AS83" s="1">
        <f>SUM(AJ84:AJ84)</f>
        <v>0</v>
      </c>
      <c r="AT83" s="1">
        <f>SUM(AK84:AK84)</f>
        <v>0</v>
      </c>
      <c r="AU83" s="1">
        <f>SUM(AL84:AL84)</f>
        <v>0</v>
      </c>
      <c r="BX83" t="s">
        <v>168</v>
      </c>
    </row>
    <row r="84" spans="1:76" x14ac:dyDescent="0.25">
      <c r="A84" s="2">
        <f>A79+1</f>
        <v>25</v>
      </c>
      <c r="B84" s="3" t="s">
        <v>53</v>
      </c>
      <c r="C84" s="3" t="s">
        <v>169</v>
      </c>
      <c r="D84" s="310" t="s">
        <v>170</v>
      </c>
      <c r="E84" s="307"/>
      <c r="F84" s="3" t="s">
        <v>77</v>
      </c>
      <c r="G84" s="31">
        <v>5.7770000000000001</v>
      </c>
      <c r="H84" s="31">
        <v>0</v>
      </c>
      <c r="I84" s="32">
        <v>21</v>
      </c>
      <c r="J84" s="31">
        <f>ROUND(G84*AO84,2)</f>
        <v>0</v>
      </c>
      <c r="K84" s="31">
        <f>ROUND(G84*AP84,2)</f>
        <v>0</v>
      </c>
      <c r="L84" s="31">
        <f>ROUND(G84*H84,2)</f>
        <v>0</v>
      </c>
      <c r="M84" s="31">
        <f>L84*(1+BW84/100)</f>
        <v>0</v>
      </c>
      <c r="N84" s="31">
        <v>2.5249999999999999</v>
      </c>
      <c r="O84" s="31">
        <f>G84*N84</f>
        <v>14.586924999999999</v>
      </c>
      <c r="P84" s="33" t="s">
        <v>60</v>
      </c>
      <c r="Z84" s="31">
        <f>ROUND(IF(AQ84="5",BJ84,0),2)</f>
        <v>0</v>
      </c>
      <c r="AB84" s="31">
        <f>ROUND(IF(AQ84="1",BH84,0),2)</f>
        <v>0</v>
      </c>
      <c r="AC84" s="31">
        <f>ROUND(IF(AQ84="1",BI84,0),2)</f>
        <v>0</v>
      </c>
      <c r="AD84" s="31">
        <f>ROUND(IF(AQ84="7",BH84,0),2)</f>
        <v>0</v>
      </c>
      <c r="AE84" s="31">
        <f>ROUND(IF(AQ84="7",BI84,0),2)</f>
        <v>0</v>
      </c>
      <c r="AF84" s="31">
        <f>ROUND(IF(AQ84="2",BH84,0),2)</f>
        <v>0</v>
      </c>
      <c r="AG84" s="31">
        <f>ROUND(IF(AQ84="2",BI84,0),2)</f>
        <v>0</v>
      </c>
      <c r="AH84" s="31">
        <f>ROUND(IF(AQ84="0",BJ84,0),2)</f>
        <v>0</v>
      </c>
      <c r="AI84" s="12" t="s">
        <v>53</v>
      </c>
      <c r="AJ84" s="31">
        <f>IF(AN84=0,L84,0)</f>
        <v>0</v>
      </c>
      <c r="AK84" s="31">
        <f>IF(AN84=12,L84,0)</f>
        <v>0</v>
      </c>
      <c r="AL84" s="31">
        <f>IF(AN84=21,L84,0)</f>
        <v>0</v>
      </c>
      <c r="AN84" s="31">
        <v>21</v>
      </c>
      <c r="AO84" s="31">
        <f>H84*0.627657832</f>
        <v>0</v>
      </c>
      <c r="AP84" s="31">
        <f>H84*(1-0.627657832)</f>
        <v>0</v>
      </c>
      <c r="AQ84" s="34" t="s">
        <v>56</v>
      </c>
      <c r="AV84" s="31">
        <f>ROUND(AW84+AX84,2)</f>
        <v>0</v>
      </c>
      <c r="AW84" s="31">
        <f>ROUND(G84*AO84,2)</f>
        <v>0</v>
      </c>
      <c r="AX84" s="31">
        <f>ROUND(G84*AP84,2)</f>
        <v>0</v>
      </c>
      <c r="AY84" s="34" t="s">
        <v>171</v>
      </c>
      <c r="AZ84" s="34" t="s">
        <v>172</v>
      </c>
      <c r="BA84" s="12" t="s">
        <v>63</v>
      </c>
      <c r="BC84" s="31">
        <f>AW84+AX84</f>
        <v>0</v>
      </c>
      <c r="BD84" s="31">
        <f>H84/(100-BE84)*100</f>
        <v>0</v>
      </c>
      <c r="BE84" s="31">
        <v>0</v>
      </c>
      <c r="BF84" s="31">
        <f>O84</f>
        <v>14.586924999999999</v>
      </c>
      <c r="BH84" s="31">
        <f>G84*AO84</f>
        <v>0</v>
      </c>
      <c r="BI84" s="31">
        <f>G84*AP84</f>
        <v>0</v>
      </c>
      <c r="BJ84" s="31">
        <f>G84*H84</f>
        <v>0</v>
      </c>
      <c r="BK84" s="34" t="s">
        <v>64</v>
      </c>
      <c r="BL84" s="31">
        <v>63</v>
      </c>
      <c r="BW84" s="31">
        <f>I84</f>
        <v>21</v>
      </c>
      <c r="BX84" s="4" t="s">
        <v>170</v>
      </c>
    </row>
    <row r="85" spans="1:76" x14ac:dyDescent="0.25">
      <c r="A85" s="35"/>
      <c r="D85" s="95" t="s">
        <v>639</v>
      </c>
      <c r="E85" s="36" t="s">
        <v>53</v>
      </c>
      <c r="G85" s="37">
        <v>5.7770000000000001</v>
      </c>
      <c r="P85" s="38"/>
      <c r="BX85" t="s">
        <v>639</v>
      </c>
    </row>
    <row r="86" spans="1:76" x14ac:dyDescent="0.25">
      <c r="A86" s="39" t="s">
        <v>53</v>
      </c>
      <c r="B86" s="40" t="s">
        <v>53</v>
      </c>
      <c r="C86" s="40" t="s">
        <v>173</v>
      </c>
      <c r="D86" s="375" t="s">
        <v>174</v>
      </c>
      <c r="E86" s="376"/>
      <c r="F86" s="41" t="s">
        <v>3</v>
      </c>
      <c r="G86" s="41" t="s">
        <v>3</v>
      </c>
      <c r="H86" s="41" t="s">
        <v>3</v>
      </c>
      <c r="I86" s="41" t="s">
        <v>3</v>
      </c>
      <c r="J86" s="1">
        <f>SUM(J87:J91)</f>
        <v>0</v>
      </c>
      <c r="K86" s="1">
        <f>SUM(K87:K91)</f>
        <v>0</v>
      </c>
      <c r="L86" s="1">
        <f>SUM(L87:L91)</f>
        <v>0</v>
      </c>
      <c r="M86" s="1">
        <f>SUM(M87:M91)</f>
        <v>0</v>
      </c>
      <c r="N86" s="12" t="s">
        <v>53</v>
      </c>
      <c r="O86" s="1">
        <f>SUM(O87:O91)</f>
        <v>0.67776075000000002</v>
      </c>
      <c r="P86" s="42" t="s">
        <v>53</v>
      </c>
      <c r="AI86" s="12" t="s">
        <v>53</v>
      </c>
      <c r="AS86" s="1">
        <f>SUM(AJ87:AJ91)</f>
        <v>0</v>
      </c>
      <c r="AT86" s="1">
        <f>SUM(AK87:AK91)</f>
        <v>0</v>
      </c>
      <c r="AU86" s="1">
        <f>SUM(AL87:AL91)</f>
        <v>0</v>
      </c>
      <c r="BX86" t="s">
        <v>174</v>
      </c>
    </row>
    <row r="87" spans="1:76" ht="25.5" x14ac:dyDescent="0.25">
      <c r="A87" s="2">
        <f>A84+1</f>
        <v>26</v>
      </c>
      <c r="B87" s="3" t="s">
        <v>53</v>
      </c>
      <c r="C87" s="3" t="s">
        <v>176</v>
      </c>
      <c r="D87" s="310" t="s">
        <v>177</v>
      </c>
      <c r="E87" s="307"/>
      <c r="F87" s="3" t="s">
        <v>59</v>
      </c>
      <c r="G87" s="31">
        <v>88.875</v>
      </c>
      <c r="H87" s="31">
        <v>0</v>
      </c>
      <c r="I87" s="32">
        <v>21</v>
      </c>
      <c r="J87" s="31">
        <f>ROUND(G87*AO87,2)</f>
        <v>0</v>
      </c>
      <c r="K87" s="31">
        <f>ROUND(G87*AP87,2)</f>
        <v>0</v>
      </c>
      <c r="L87" s="31">
        <f>ROUND(G87*H87,2)</f>
        <v>0</v>
      </c>
      <c r="M87" s="31">
        <f>L87*(1+BW87/100)</f>
        <v>0</v>
      </c>
      <c r="N87" s="31">
        <v>3.3E-4</v>
      </c>
      <c r="O87" s="31">
        <f>G87*N87</f>
        <v>2.9328750000000001E-2</v>
      </c>
      <c r="P87" s="33" t="s">
        <v>60</v>
      </c>
      <c r="Z87" s="31">
        <f>ROUND(IF(AQ87="5",BJ87,0),2)</f>
        <v>0</v>
      </c>
      <c r="AB87" s="31">
        <f>ROUND(IF(AQ87="1",BH87,0),2)</f>
        <v>0</v>
      </c>
      <c r="AC87" s="31">
        <f>ROUND(IF(AQ87="1",BI87,0),2)</f>
        <v>0</v>
      </c>
      <c r="AD87" s="31">
        <f>ROUND(IF(AQ87="7",BH87,0),2)</f>
        <v>0</v>
      </c>
      <c r="AE87" s="31">
        <f>ROUND(IF(AQ87="7",BI87,0),2)</f>
        <v>0</v>
      </c>
      <c r="AF87" s="31">
        <f>ROUND(IF(AQ87="2",BH87,0),2)</f>
        <v>0</v>
      </c>
      <c r="AG87" s="31">
        <f>ROUND(IF(AQ87="2",BI87,0),2)</f>
        <v>0</v>
      </c>
      <c r="AH87" s="31">
        <f>ROUND(IF(AQ87="0",BJ87,0),2)</f>
        <v>0</v>
      </c>
      <c r="AI87" s="12" t="s">
        <v>53</v>
      </c>
      <c r="AJ87" s="31">
        <f>IF(AN87=0,L87,0)</f>
        <v>0</v>
      </c>
      <c r="AK87" s="31">
        <f>IF(AN87=12,L87,0)</f>
        <v>0</v>
      </c>
      <c r="AL87" s="31">
        <f>IF(AN87=21,L87,0)</f>
        <v>0</v>
      </c>
      <c r="AN87" s="31">
        <v>21</v>
      </c>
      <c r="AO87" s="31">
        <f>H87*0.698515635</f>
        <v>0</v>
      </c>
      <c r="AP87" s="31">
        <f>H87*(1-0.698515635)</f>
        <v>0</v>
      </c>
      <c r="AQ87" s="34" t="s">
        <v>95</v>
      </c>
      <c r="AV87" s="31">
        <f>ROUND(AW87+AX87,2)</f>
        <v>0</v>
      </c>
      <c r="AW87" s="31">
        <f>ROUND(G87*AO87,2)</f>
        <v>0</v>
      </c>
      <c r="AX87" s="31">
        <f>ROUND(G87*AP87,2)</f>
        <v>0</v>
      </c>
      <c r="AY87" s="34" t="s">
        <v>178</v>
      </c>
      <c r="AZ87" s="34" t="s">
        <v>179</v>
      </c>
      <c r="BA87" s="12" t="s">
        <v>63</v>
      </c>
      <c r="BC87" s="31">
        <f>AW87+AX87</f>
        <v>0</v>
      </c>
      <c r="BD87" s="31">
        <f>H87/(100-BE87)*100</f>
        <v>0</v>
      </c>
      <c r="BE87" s="31">
        <v>0</v>
      </c>
      <c r="BF87" s="31">
        <f>O87</f>
        <v>2.9328750000000001E-2</v>
      </c>
      <c r="BH87" s="31">
        <f>G87*AO87</f>
        <v>0</v>
      </c>
      <c r="BI87" s="31">
        <f>G87*AP87</f>
        <v>0</v>
      </c>
      <c r="BJ87" s="31">
        <f>G87*H87</f>
        <v>0</v>
      </c>
      <c r="BK87" s="34" t="s">
        <v>64</v>
      </c>
      <c r="BL87" s="31">
        <v>711</v>
      </c>
      <c r="BW87" s="31">
        <f>I87</f>
        <v>21</v>
      </c>
      <c r="BX87" s="4" t="s">
        <v>177</v>
      </c>
    </row>
    <row r="88" spans="1:76" x14ac:dyDescent="0.25">
      <c r="A88" s="35"/>
      <c r="D88" s="87" t="s">
        <v>180</v>
      </c>
      <c r="E88" s="36" t="s">
        <v>53</v>
      </c>
      <c r="G88" s="37">
        <v>88.875</v>
      </c>
      <c r="P88" s="38"/>
      <c r="BX88" t="s">
        <v>180</v>
      </c>
    </row>
    <row r="89" spans="1:76" ht="25.5" x14ac:dyDescent="0.25">
      <c r="A89" s="2">
        <f>A87+1</f>
        <v>27</v>
      </c>
      <c r="B89" s="3" t="s">
        <v>53</v>
      </c>
      <c r="C89" s="3" t="s">
        <v>181</v>
      </c>
      <c r="D89" s="310" t="s">
        <v>1183</v>
      </c>
      <c r="E89" s="307"/>
      <c r="F89" s="3" t="s">
        <v>59</v>
      </c>
      <c r="G89" s="31">
        <v>112.575</v>
      </c>
      <c r="H89" s="31">
        <v>0</v>
      </c>
      <c r="I89" s="32">
        <v>21</v>
      </c>
      <c r="J89" s="31">
        <f>ROUND(G89*AO89,2)</f>
        <v>0</v>
      </c>
      <c r="K89" s="31">
        <f>ROUND(G89*AP89,2)</f>
        <v>0</v>
      </c>
      <c r="L89" s="31">
        <f>ROUND(G89*H89,2)</f>
        <v>0</v>
      </c>
      <c r="M89" s="31">
        <f>L89*(1+BW89/100)</f>
        <v>0</v>
      </c>
      <c r="N89" s="31">
        <v>5.7600000000000004E-3</v>
      </c>
      <c r="O89" s="31">
        <f>G89*N89</f>
        <v>0.64843200000000001</v>
      </c>
      <c r="P89" s="33" t="s">
        <v>60</v>
      </c>
      <c r="Z89" s="31">
        <f>ROUND(IF(AQ89="5",BJ89,0),2)</f>
        <v>0</v>
      </c>
      <c r="AB89" s="31">
        <f>ROUND(IF(AQ89="1",BH89,0),2)</f>
        <v>0</v>
      </c>
      <c r="AC89" s="31">
        <f>ROUND(IF(AQ89="1",BI89,0),2)</f>
        <v>0</v>
      </c>
      <c r="AD89" s="31">
        <f>ROUND(IF(AQ89="7",BH89,0),2)</f>
        <v>0</v>
      </c>
      <c r="AE89" s="31">
        <f>ROUND(IF(AQ89="7",BI89,0),2)</f>
        <v>0</v>
      </c>
      <c r="AF89" s="31">
        <f>ROUND(IF(AQ89="2",BH89,0),2)</f>
        <v>0</v>
      </c>
      <c r="AG89" s="31">
        <f>ROUND(IF(AQ89="2",BI89,0),2)</f>
        <v>0</v>
      </c>
      <c r="AH89" s="31">
        <f>ROUND(IF(AQ89="0",BJ89,0),2)</f>
        <v>0</v>
      </c>
      <c r="AI89" s="12" t="s">
        <v>53</v>
      </c>
      <c r="AJ89" s="31">
        <f>IF(AN89=0,L89,0)</f>
        <v>0</v>
      </c>
      <c r="AK89" s="31">
        <f>IF(AN89=12,L89,0)</f>
        <v>0</v>
      </c>
      <c r="AL89" s="31">
        <f>IF(AN89=21,L89,0)</f>
        <v>0</v>
      </c>
      <c r="AN89" s="31">
        <v>21</v>
      </c>
      <c r="AO89" s="31">
        <f>H89*0.457041826</f>
        <v>0</v>
      </c>
      <c r="AP89" s="31">
        <f>H89*(1-0.457041826)</f>
        <v>0</v>
      </c>
      <c r="AQ89" s="34" t="s">
        <v>95</v>
      </c>
      <c r="AV89" s="31">
        <f>ROUND(AW89+AX89,2)</f>
        <v>0</v>
      </c>
      <c r="AW89" s="31">
        <f>ROUND(G89*AO89,2)</f>
        <v>0</v>
      </c>
      <c r="AX89" s="31">
        <f>ROUND(G89*AP89,2)</f>
        <v>0</v>
      </c>
      <c r="AY89" s="34" t="s">
        <v>178</v>
      </c>
      <c r="AZ89" s="34" t="s">
        <v>179</v>
      </c>
      <c r="BA89" s="12" t="s">
        <v>63</v>
      </c>
      <c r="BC89" s="31">
        <f>AW89+AX89</f>
        <v>0</v>
      </c>
      <c r="BD89" s="31">
        <f>H89/(100-BE89)*100</f>
        <v>0</v>
      </c>
      <c r="BE89" s="31">
        <v>0</v>
      </c>
      <c r="BF89" s="31">
        <f>O89</f>
        <v>0.64843200000000001</v>
      </c>
      <c r="BH89" s="31">
        <f>G89*AO89</f>
        <v>0</v>
      </c>
      <c r="BI89" s="31">
        <f>G89*AP89</f>
        <v>0</v>
      </c>
      <c r="BJ89" s="31">
        <f>G89*H89</f>
        <v>0</v>
      </c>
      <c r="BK89" s="34" t="s">
        <v>64</v>
      </c>
      <c r="BL89" s="31">
        <v>711</v>
      </c>
      <c r="BW89" s="31">
        <f>I89</f>
        <v>21</v>
      </c>
      <c r="BX89" s="4" t="s">
        <v>1183</v>
      </c>
    </row>
    <row r="90" spans="1:76" x14ac:dyDescent="0.25">
      <c r="A90" s="35"/>
      <c r="D90" s="87" t="s">
        <v>182</v>
      </c>
      <c r="E90" s="36" t="s">
        <v>53</v>
      </c>
      <c r="G90" s="37">
        <v>112.575</v>
      </c>
      <c r="P90" s="38"/>
      <c r="BX90" t="s">
        <v>182</v>
      </c>
    </row>
    <row r="91" spans="1:76" x14ac:dyDescent="0.25">
      <c r="A91" s="2">
        <f>A89+1</f>
        <v>28</v>
      </c>
      <c r="B91" s="3" t="s">
        <v>53</v>
      </c>
      <c r="C91" s="3" t="s">
        <v>183</v>
      </c>
      <c r="D91" s="310" t="s">
        <v>184</v>
      </c>
      <c r="E91" s="307"/>
      <c r="F91" s="3" t="s">
        <v>185</v>
      </c>
      <c r="G91" s="31">
        <v>5</v>
      </c>
      <c r="H91" s="31">
        <v>0</v>
      </c>
      <c r="I91" s="32">
        <v>21</v>
      </c>
      <c r="J91" s="31">
        <f>ROUND(G91*AO91,2)</f>
        <v>0</v>
      </c>
      <c r="K91" s="31">
        <f>ROUND(G91*AP91,2)</f>
        <v>0</v>
      </c>
      <c r="L91" s="31">
        <f>ROUND(G91*H91,2)</f>
        <v>0</v>
      </c>
      <c r="M91" s="31">
        <f>L91*(1+BW91/100)</f>
        <v>0</v>
      </c>
      <c r="N91" s="31">
        <v>0</v>
      </c>
      <c r="O91" s="31">
        <f>G91*N91</f>
        <v>0</v>
      </c>
      <c r="P91" s="33" t="s">
        <v>60</v>
      </c>
      <c r="Z91" s="31">
        <f>ROUND(IF(AQ91="5",BJ91,0),2)</f>
        <v>0</v>
      </c>
      <c r="AB91" s="31">
        <f>ROUND(IF(AQ91="1",BH91,0),2)</f>
        <v>0</v>
      </c>
      <c r="AC91" s="31">
        <f>ROUND(IF(AQ91="1",BI91,0),2)</f>
        <v>0</v>
      </c>
      <c r="AD91" s="31">
        <f>ROUND(IF(AQ91="7",BH91,0),2)</f>
        <v>0</v>
      </c>
      <c r="AE91" s="31">
        <f>ROUND(IF(AQ91="7",BI91,0),2)</f>
        <v>0</v>
      </c>
      <c r="AF91" s="31">
        <f>ROUND(IF(AQ91="2",BH91,0),2)</f>
        <v>0</v>
      </c>
      <c r="AG91" s="31">
        <f>ROUND(IF(AQ91="2",BI91,0),2)</f>
        <v>0</v>
      </c>
      <c r="AH91" s="31">
        <f>ROUND(IF(AQ91="0",BJ91,0),2)</f>
        <v>0</v>
      </c>
      <c r="AI91" s="12" t="s">
        <v>53</v>
      </c>
      <c r="AJ91" s="31">
        <f>IF(AN91=0,L91,0)</f>
        <v>0</v>
      </c>
      <c r="AK91" s="31">
        <f>IF(AN91=12,L91,0)</f>
        <v>0</v>
      </c>
      <c r="AL91" s="31">
        <f>IF(AN91=21,L91,0)</f>
        <v>0</v>
      </c>
      <c r="AN91" s="31">
        <v>21</v>
      </c>
      <c r="AO91" s="31">
        <f>H91*0</f>
        <v>0</v>
      </c>
      <c r="AP91" s="31">
        <f>H91*(1-0)</f>
        <v>0</v>
      </c>
      <c r="AQ91" s="34" t="s">
        <v>87</v>
      </c>
      <c r="AV91" s="31">
        <f>ROUND(AW91+AX91,2)</f>
        <v>0</v>
      </c>
      <c r="AW91" s="31">
        <f>ROUND(G91*AO91,2)</f>
        <v>0</v>
      </c>
      <c r="AX91" s="31">
        <f>ROUND(G91*AP91,2)</f>
        <v>0</v>
      </c>
      <c r="AY91" s="34" t="s">
        <v>178</v>
      </c>
      <c r="AZ91" s="34" t="s">
        <v>179</v>
      </c>
      <c r="BA91" s="12" t="s">
        <v>63</v>
      </c>
      <c r="BC91" s="31">
        <f>AW91+AX91</f>
        <v>0</v>
      </c>
      <c r="BD91" s="31">
        <f>H91/(100-BE91)*100</f>
        <v>0</v>
      </c>
      <c r="BE91" s="31">
        <v>0</v>
      </c>
      <c r="BF91" s="31">
        <f>O91</f>
        <v>0</v>
      </c>
      <c r="BH91" s="31">
        <f>G91*AO91</f>
        <v>0</v>
      </c>
      <c r="BI91" s="31">
        <f>G91*AP91</f>
        <v>0</v>
      </c>
      <c r="BJ91" s="31">
        <f>G91*H91</f>
        <v>0</v>
      </c>
      <c r="BK91" s="34" t="s">
        <v>64</v>
      </c>
      <c r="BL91" s="31">
        <v>711</v>
      </c>
      <c r="BW91" s="31">
        <f>I91</f>
        <v>21</v>
      </c>
      <c r="BX91" s="4" t="s">
        <v>184</v>
      </c>
    </row>
    <row r="92" spans="1:76" x14ac:dyDescent="0.25">
      <c r="A92" s="39" t="s">
        <v>53</v>
      </c>
      <c r="B92" s="40" t="s">
        <v>53</v>
      </c>
      <c r="C92" s="40" t="s">
        <v>186</v>
      </c>
      <c r="D92" s="375" t="s">
        <v>187</v>
      </c>
      <c r="E92" s="376"/>
      <c r="F92" s="41" t="s">
        <v>3</v>
      </c>
      <c r="G92" s="41" t="s">
        <v>3</v>
      </c>
      <c r="H92" s="41" t="s">
        <v>3</v>
      </c>
      <c r="I92" s="41" t="s">
        <v>3</v>
      </c>
      <c r="J92" s="1">
        <f>SUM(J93:J134)</f>
        <v>0</v>
      </c>
      <c r="K92" s="1">
        <f>SUM(K93:K134)</f>
        <v>0</v>
      </c>
      <c r="L92" s="1">
        <f>SUM(L93:L134)</f>
        <v>0</v>
      </c>
      <c r="M92" s="1">
        <f>SUM(M93:M134)</f>
        <v>0</v>
      </c>
      <c r="N92" s="12" t="s">
        <v>53</v>
      </c>
      <c r="O92" s="1">
        <f>SUM(O93:O134)</f>
        <v>20.862408961960003</v>
      </c>
      <c r="P92" s="42" t="s">
        <v>53</v>
      </c>
      <c r="AI92" s="12" t="s">
        <v>53</v>
      </c>
      <c r="AS92" s="1">
        <f>SUM(AJ93:AJ134)</f>
        <v>0</v>
      </c>
      <c r="AT92" s="1">
        <f>SUM(AK93:AK134)</f>
        <v>0</v>
      </c>
      <c r="AU92" s="1">
        <f>SUM(AL93:AL134)</f>
        <v>0</v>
      </c>
      <c r="BX92" t="s">
        <v>187</v>
      </c>
    </row>
    <row r="93" spans="1:76" x14ac:dyDescent="0.25">
      <c r="A93" s="2">
        <f>A91+1</f>
        <v>29</v>
      </c>
      <c r="B93" s="3" t="s">
        <v>53</v>
      </c>
      <c r="C93" s="3" t="s">
        <v>188</v>
      </c>
      <c r="D93" s="310" t="s">
        <v>189</v>
      </c>
      <c r="E93" s="307"/>
      <c r="F93" s="3" t="s">
        <v>59</v>
      </c>
      <c r="G93" s="31">
        <v>1713.9117249999999</v>
      </c>
      <c r="H93" s="31">
        <v>0</v>
      </c>
      <c r="I93" s="32">
        <v>21</v>
      </c>
      <c r="J93" s="31">
        <f>ROUND(G93*AO93,2)</f>
        <v>0</v>
      </c>
      <c r="K93" s="31">
        <f>ROUND(G93*AP93,2)</f>
        <v>0</v>
      </c>
      <c r="L93" s="31">
        <f>ROUND(G93*H93,2)</f>
        <v>0</v>
      </c>
      <c r="M93" s="31">
        <f>L93*(1+BW93/100)</f>
        <v>0</v>
      </c>
      <c r="N93" s="31">
        <v>5.1000000000000004E-3</v>
      </c>
      <c r="O93" s="31">
        <f>G93*N93</f>
        <v>8.7409497975000008</v>
      </c>
      <c r="P93" s="33" t="s">
        <v>60</v>
      </c>
      <c r="Z93" s="31">
        <f>ROUND(IF(AQ93="5",BJ93,0),2)</f>
        <v>0</v>
      </c>
      <c r="AB93" s="31">
        <f>ROUND(IF(AQ93="1",BH93,0),2)</f>
        <v>0</v>
      </c>
      <c r="AC93" s="31">
        <f>ROUND(IF(AQ93="1",BI93,0),2)</f>
        <v>0</v>
      </c>
      <c r="AD93" s="31">
        <f>ROUND(IF(AQ93="7",BH93,0),2)</f>
        <v>0</v>
      </c>
      <c r="AE93" s="31">
        <f>ROUND(IF(AQ93="7",BI93,0),2)</f>
        <v>0</v>
      </c>
      <c r="AF93" s="31">
        <f>ROUND(IF(AQ93="2",BH93,0),2)</f>
        <v>0</v>
      </c>
      <c r="AG93" s="31">
        <f>ROUND(IF(AQ93="2",BI93,0),2)</f>
        <v>0</v>
      </c>
      <c r="AH93" s="31">
        <f>ROUND(IF(AQ93="0",BJ93,0),2)</f>
        <v>0</v>
      </c>
      <c r="AI93" s="12" t="s">
        <v>53</v>
      </c>
      <c r="AJ93" s="31">
        <f>IF(AN93=0,L93,0)</f>
        <v>0</v>
      </c>
      <c r="AK93" s="31">
        <f>IF(AN93=12,L93,0)</f>
        <v>0</v>
      </c>
      <c r="AL93" s="31">
        <f>IF(AN93=21,L93,0)</f>
        <v>0</v>
      </c>
      <c r="AN93" s="31">
        <v>21</v>
      </c>
      <c r="AO93" s="31">
        <f>H93*0</f>
        <v>0</v>
      </c>
      <c r="AP93" s="31">
        <f>H93*(1-0)</f>
        <v>0</v>
      </c>
      <c r="AQ93" s="34" t="s">
        <v>95</v>
      </c>
      <c r="AV93" s="31">
        <f>ROUND(AW93+AX93,2)</f>
        <v>0</v>
      </c>
      <c r="AW93" s="31">
        <f>ROUND(G93*AO93,2)</f>
        <v>0</v>
      </c>
      <c r="AX93" s="31">
        <f>ROUND(G93*AP93,2)</f>
        <v>0</v>
      </c>
      <c r="AY93" s="34" t="s">
        <v>190</v>
      </c>
      <c r="AZ93" s="34" t="s">
        <v>179</v>
      </c>
      <c r="BA93" s="12" t="s">
        <v>63</v>
      </c>
      <c r="BC93" s="31">
        <f>AW93+AX93</f>
        <v>0</v>
      </c>
      <c r="BD93" s="31">
        <f>H93/(100-BE93)*100</f>
        <v>0</v>
      </c>
      <c r="BE93" s="31">
        <v>0</v>
      </c>
      <c r="BF93" s="31">
        <f>O93</f>
        <v>8.7409497975000008</v>
      </c>
      <c r="BH93" s="31">
        <f>G93*AO93</f>
        <v>0</v>
      </c>
      <c r="BI93" s="31">
        <f>G93*AP93</f>
        <v>0</v>
      </c>
      <c r="BJ93" s="31">
        <f>G93*H93</f>
        <v>0</v>
      </c>
      <c r="BK93" s="34" t="s">
        <v>64</v>
      </c>
      <c r="BL93" s="31">
        <v>713</v>
      </c>
      <c r="BW93" s="31">
        <f>I93</f>
        <v>21</v>
      </c>
      <c r="BX93" s="4" t="s">
        <v>189</v>
      </c>
    </row>
    <row r="94" spans="1:76" x14ac:dyDescent="0.25">
      <c r="A94" s="43"/>
      <c r="B94" s="44"/>
      <c r="C94" s="44"/>
      <c r="D94" s="87" t="s">
        <v>1144</v>
      </c>
      <c r="E94" s="102" t="s">
        <v>53</v>
      </c>
      <c r="F94" s="283"/>
      <c r="G94" s="37">
        <v>648.56938500000012</v>
      </c>
      <c r="H94" s="44"/>
      <c r="I94" s="44"/>
      <c r="J94" s="44"/>
      <c r="K94" s="44"/>
      <c r="L94" s="44"/>
      <c r="M94" s="44"/>
      <c r="N94" s="44"/>
      <c r="O94" s="44"/>
      <c r="P94" s="45"/>
      <c r="BX94" t="s">
        <v>1144</v>
      </c>
    </row>
    <row r="95" spans="1:76" x14ac:dyDescent="0.25">
      <c r="A95" s="43"/>
      <c r="B95" s="44"/>
      <c r="C95" s="44"/>
      <c r="D95" s="87" t="s">
        <v>857</v>
      </c>
      <c r="E95" s="36" t="s">
        <v>53</v>
      </c>
      <c r="F95" s="44"/>
      <c r="G95" s="37">
        <v>1059.3261</v>
      </c>
      <c r="H95" s="44"/>
      <c r="I95" s="44"/>
      <c r="J95" s="44"/>
      <c r="K95" s="44"/>
      <c r="L95" s="44"/>
      <c r="M95" s="44"/>
      <c r="N95" s="44"/>
      <c r="O95" s="44"/>
      <c r="P95" s="45"/>
      <c r="BX95" t="s">
        <v>857</v>
      </c>
    </row>
    <row r="96" spans="1:76" x14ac:dyDescent="0.25">
      <c r="A96" s="43"/>
      <c r="B96" s="44"/>
      <c r="C96" s="44"/>
      <c r="D96" s="87" t="s">
        <v>1169</v>
      </c>
      <c r="E96" s="36" t="s">
        <v>53</v>
      </c>
      <c r="F96" s="44"/>
      <c r="G96" s="37">
        <v>6.0162399999999998</v>
      </c>
      <c r="H96" s="44"/>
      <c r="I96" s="44"/>
      <c r="J96" s="44"/>
      <c r="K96" s="44"/>
      <c r="L96" s="44"/>
      <c r="M96" s="44"/>
      <c r="N96" s="44"/>
      <c r="O96" s="44"/>
      <c r="P96" s="45"/>
      <c r="BX96" t="s">
        <v>1169</v>
      </c>
    </row>
    <row r="97" spans="1:76" x14ac:dyDescent="0.25">
      <c r="A97" s="2">
        <f>A93+1</f>
        <v>30</v>
      </c>
      <c r="B97" s="3" t="s">
        <v>53</v>
      </c>
      <c r="C97" s="3" t="s">
        <v>191</v>
      </c>
      <c r="D97" s="310" t="s">
        <v>192</v>
      </c>
      <c r="E97" s="307"/>
      <c r="F97" s="3" t="s">
        <v>59</v>
      </c>
      <c r="G97" s="31">
        <v>2562.6279770000001</v>
      </c>
      <c r="H97" s="31">
        <v>0</v>
      </c>
      <c r="I97" s="32">
        <v>21</v>
      </c>
      <c r="J97" s="31">
        <f>ROUND(G97*AO97,2)</f>
        <v>0</v>
      </c>
      <c r="K97" s="31">
        <f>ROUND(G97*AP97,2)</f>
        <v>0</v>
      </c>
      <c r="L97" s="31">
        <f>ROUND(G97*H97,2)</f>
        <v>0</v>
      </c>
      <c r="M97" s="31">
        <f>L97*(1+BW97/100)</f>
        <v>0</v>
      </c>
      <c r="N97" s="31">
        <v>2.0999999999999999E-3</v>
      </c>
      <c r="O97" s="31">
        <f>G97*N97</f>
        <v>5.3815187516999998</v>
      </c>
      <c r="P97" s="33" t="s">
        <v>60</v>
      </c>
      <c r="Z97" s="31">
        <f>ROUND(IF(AQ97="5",BJ97,0),2)</f>
        <v>0</v>
      </c>
      <c r="AB97" s="31">
        <f>ROUND(IF(AQ97="1",BH97,0),2)</f>
        <v>0</v>
      </c>
      <c r="AC97" s="31">
        <f>ROUND(IF(AQ97="1",BI97,0),2)</f>
        <v>0</v>
      </c>
      <c r="AD97" s="31">
        <f>ROUND(IF(AQ97="7",BH97,0),2)</f>
        <v>0</v>
      </c>
      <c r="AE97" s="31">
        <f>ROUND(IF(AQ97="7",BI97,0),2)</f>
        <v>0</v>
      </c>
      <c r="AF97" s="31">
        <f>ROUND(IF(AQ97="2",BH97,0),2)</f>
        <v>0</v>
      </c>
      <c r="AG97" s="31">
        <f>ROUND(IF(AQ97="2",BI97,0),2)</f>
        <v>0</v>
      </c>
      <c r="AH97" s="31">
        <f>ROUND(IF(AQ97="0",BJ97,0),2)</f>
        <v>0</v>
      </c>
      <c r="AI97" s="12" t="s">
        <v>53</v>
      </c>
      <c r="AJ97" s="31">
        <f>IF(AN97=0,L97,0)</f>
        <v>0</v>
      </c>
      <c r="AK97" s="31">
        <f>IF(AN97=12,L97,0)</f>
        <v>0</v>
      </c>
      <c r="AL97" s="31">
        <f>IF(AN97=21,L97,0)</f>
        <v>0</v>
      </c>
      <c r="AN97" s="31">
        <v>21</v>
      </c>
      <c r="AO97" s="31">
        <f>H97*0</f>
        <v>0</v>
      </c>
      <c r="AP97" s="31">
        <f>H97*(1-0)</f>
        <v>0</v>
      </c>
      <c r="AQ97" s="34" t="s">
        <v>95</v>
      </c>
      <c r="AV97" s="31">
        <f>ROUND(AW97+AX97,2)</f>
        <v>0</v>
      </c>
      <c r="AW97" s="31">
        <f>ROUND(G97*AO97,2)</f>
        <v>0</v>
      </c>
      <c r="AX97" s="31">
        <f>ROUND(G97*AP97,2)</f>
        <v>0</v>
      </c>
      <c r="AY97" s="34" t="s">
        <v>190</v>
      </c>
      <c r="AZ97" s="34" t="s">
        <v>179</v>
      </c>
      <c r="BA97" s="12" t="s">
        <v>63</v>
      </c>
      <c r="BC97" s="31">
        <f>AW97+AX97</f>
        <v>0</v>
      </c>
      <c r="BD97" s="31">
        <f>H97/(100-BE97)*100</f>
        <v>0</v>
      </c>
      <c r="BE97" s="31">
        <v>0</v>
      </c>
      <c r="BF97" s="31">
        <f>O97</f>
        <v>5.3815187516999998</v>
      </c>
      <c r="BH97" s="31">
        <f>G97*AO97</f>
        <v>0</v>
      </c>
      <c r="BI97" s="31">
        <f>G97*AP97</f>
        <v>0</v>
      </c>
      <c r="BJ97" s="31">
        <f>G97*H97</f>
        <v>0</v>
      </c>
      <c r="BK97" s="34" t="s">
        <v>64</v>
      </c>
      <c r="BL97" s="31">
        <v>713</v>
      </c>
      <c r="BW97" s="31">
        <f>I97</f>
        <v>21</v>
      </c>
      <c r="BX97" s="4" t="s">
        <v>192</v>
      </c>
    </row>
    <row r="98" spans="1:76" x14ac:dyDescent="0.25">
      <c r="A98" s="43"/>
      <c r="B98" s="44"/>
      <c r="C98" s="44"/>
      <c r="D98" s="87" t="s">
        <v>1144</v>
      </c>
      <c r="E98" s="102" t="s">
        <v>53</v>
      </c>
      <c r="F98" s="283"/>
      <c r="G98" s="37">
        <v>648.56938500000012</v>
      </c>
      <c r="H98" s="44"/>
      <c r="I98" s="44"/>
      <c r="J98" s="44"/>
      <c r="K98" s="44"/>
      <c r="L98" s="44"/>
      <c r="M98" s="44"/>
      <c r="N98" s="44"/>
      <c r="O98" s="44"/>
      <c r="P98" s="45"/>
      <c r="BX98" t="s">
        <v>1144</v>
      </c>
    </row>
    <row r="99" spans="1:76" x14ac:dyDescent="0.25">
      <c r="A99" s="43"/>
      <c r="B99" s="44"/>
      <c r="C99" s="44"/>
      <c r="D99" s="87" t="s">
        <v>857</v>
      </c>
      <c r="E99" s="36" t="s">
        <v>53</v>
      </c>
      <c r="F99" s="44"/>
      <c r="G99" s="37">
        <v>1059.3261</v>
      </c>
      <c r="H99" s="44"/>
      <c r="I99" s="44"/>
      <c r="J99" s="44"/>
      <c r="K99" s="44"/>
      <c r="L99" s="44"/>
      <c r="M99" s="44"/>
      <c r="N99" s="44"/>
      <c r="O99" s="44"/>
      <c r="P99" s="45"/>
      <c r="BX99" t="s">
        <v>857</v>
      </c>
    </row>
    <row r="100" spans="1:76" x14ac:dyDescent="0.25">
      <c r="A100" s="43"/>
      <c r="B100" s="44"/>
      <c r="C100" s="44"/>
      <c r="D100" s="87" t="s">
        <v>1169</v>
      </c>
      <c r="E100" s="36" t="s">
        <v>53</v>
      </c>
      <c r="F100" s="44"/>
      <c r="G100" s="37">
        <v>6.0162399999999998</v>
      </c>
      <c r="H100" s="44"/>
      <c r="I100" s="44"/>
      <c r="J100" s="44"/>
      <c r="K100" s="44"/>
      <c r="L100" s="44"/>
      <c r="M100" s="44"/>
      <c r="N100" s="44"/>
      <c r="O100" s="44"/>
      <c r="P100" s="45"/>
      <c r="BX100" t="s">
        <v>1169</v>
      </c>
    </row>
    <row r="101" spans="1:76" x14ac:dyDescent="0.25">
      <c r="A101" s="43"/>
      <c r="B101" s="44"/>
      <c r="C101" s="44"/>
      <c r="D101" s="87" t="s">
        <v>859</v>
      </c>
      <c r="E101" s="36" t="s">
        <v>53</v>
      </c>
      <c r="F101" s="44"/>
      <c r="G101" s="37">
        <v>848.20129200000008</v>
      </c>
      <c r="H101" s="44"/>
      <c r="I101" s="44"/>
      <c r="J101" s="44"/>
      <c r="K101" s="44"/>
      <c r="L101" s="44"/>
      <c r="M101" s="44"/>
      <c r="N101" s="44"/>
      <c r="O101" s="44"/>
      <c r="P101" s="45"/>
      <c r="BX101" t="s">
        <v>859</v>
      </c>
    </row>
    <row r="102" spans="1:76" x14ac:dyDescent="0.25">
      <c r="A102" s="43"/>
      <c r="B102" s="44"/>
      <c r="C102" s="44"/>
      <c r="D102" s="87" t="s">
        <v>858</v>
      </c>
      <c r="E102" s="36" t="s">
        <v>53</v>
      </c>
      <c r="F102" s="44"/>
      <c r="G102" s="37">
        <v>0.51495999999999997</v>
      </c>
      <c r="H102" s="44"/>
      <c r="I102" s="44"/>
      <c r="J102" s="44"/>
      <c r="K102" s="44"/>
      <c r="L102" s="44"/>
      <c r="M102" s="44"/>
      <c r="N102" s="44"/>
      <c r="O102" s="44"/>
      <c r="P102" s="45"/>
      <c r="BX102" t="s">
        <v>858</v>
      </c>
    </row>
    <row r="103" spans="1:76" x14ac:dyDescent="0.25">
      <c r="A103" s="2">
        <f>A97+1</f>
        <v>31</v>
      </c>
      <c r="B103" s="3" t="s">
        <v>53</v>
      </c>
      <c r="C103" s="3" t="s">
        <v>193</v>
      </c>
      <c r="D103" s="310" t="s">
        <v>194</v>
      </c>
      <c r="E103" s="307"/>
      <c r="F103" s="3" t="s">
        <v>59</v>
      </c>
      <c r="G103" s="31">
        <v>122.97621599999999</v>
      </c>
      <c r="H103" s="31">
        <v>0</v>
      </c>
      <c r="I103" s="32">
        <v>21</v>
      </c>
      <c r="J103" s="31">
        <f>ROUND(G103*AO103,2)</f>
        <v>0</v>
      </c>
      <c r="K103" s="31">
        <f>ROUND(G103*AP103,2)</f>
        <v>0</v>
      </c>
      <c r="L103" s="31">
        <f>ROUND(G103*H103,2)</f>
        <v>0</v>
      </c>
      <c r="M103" s="31">
        <f>L103*(1+BW103/100)</f>
        <v>0</v>
      </c>
      <c r="N103" s="31">
        <v>6.2E-4</v>
      </c>
      <c r="O103" s="31">
        <f>G103*N103</f>
        <v>7.6245253919999992E-2</v>
      </c>
      <c r="P103" s="33" t="s">
        <v>60</v>
      </c>
      <c r="Z103" s="31">
        <f>ROUND(IF(AQ103="5",BJ103,0),2)</f>
        <v>0</v>
      </c>
      <c r="AB103" s="31">
        <f>ROUND(IF(AQ103="1",BH103,0),2)</f>
        <v>0</v>
      </c>
      <c r="AC103" s="31">
        <f>ROUND(IF(AQ103="1",BI103,0),2)</f>
        <v>0</v>
      </c>
      <c r="AD103" s="31">
        <f>ROUND(IF(AQ103="7",BH103,0),2)</f>
        <v>0</v>
      </c>
      <c r="AE103" s="31">
        <f>ROUND(IF(AQ103="7",BI103,0),2)</f>
        <v>0</v>
      </c>
      <c r="AF103" s="31">
        <f>ROUND(IF(AQ103="2",BH103,0),2)</f>
        <v>0</v>
      </c>
      <c r="AG103" s="31">
        <f>ROUND(IF(AQ103="2",BI103,0),2)</f>
        <v>0</v>
      </c>
      <c r="AH103" s="31">
        <f>ROUND(IF(AQ103="0",BJ103,0),2)</f>
        <v>0</v>
      </c>
      <c r="AI103" s="12" t="s">
        <v>53</v>
      </c>
      <c r="AJ103" s="31">
        <f>IF(AN103=0,L103,0)</f>
        <v>0</v>
      </c>
      <c r="AK103" s="31">
        <f>IF(AN103=12,L103,0)</f>
        <v>0</v>
      </c>
      <c r="AL103" s="31">
        <f>IF(AN103=21,L103,0)</f>
        <v>0</v>
      </c>
      <c r="AN103" s="31">
        <v>21</v>
      </c>
      <c r="AO103" s="31">
        <f>H103*0.087777827</f>
        <v>0</v>
      </c>
      <c r="AP103" s="31">
        <f>H103*(1-0.087777827)</f>
        <v>0</v>
      </c>
      <c r="AQ103" s="34" t="s">
        <v>95</v>
      </c>
      <c r="AV103" s="31">
        <f>ROUND(AW103+AX103,2)</f>
        <v>0</v>
      </c>
      <c r="AW103" s="31">
        <f>ROUND(G103*AO103,2)</f>
        <v>0</v>
      </c>
      <c r="AX103" s="31">
        <f>ROUND(G103*AP103,2)</f>
        <v>0</v>
      </c>
      <c r="AY103" s="34" t="s">
        <v>190</v>
      </c>
      <c r="AZ103" s="34" t="s">
        <v>179</v>
      </c>
      <c r="BA103" s="12" t="s">
        <v>63</v>
      </c>
      <c r="BC103" s="31">
        <f>AW103+AX103</f>
        <v>0</v>
      </c>
      <c r="BD103" s="31">
        <f>H103/(100-BE103)*100</f>
        <v>0</v>
      </c>
      <c r="BE103" s="31">
        <v>0</v>
      </c>
      <c r="BF103" s="31">
        <f>O103</f>
        <v>7.6245253919999992E-2</v>
      </c>
      <c r="BH103" s="31">
        <f>G103*AO103</f>
        <v>0</v>
      </c>
      <c r="BI103" s="31">
        <f>G103*AP103</f>
        <v>0</v>
      </c>
      <c r="BJ103" s="31">
        <f>G103*H103</f>
        <v>0</v>
      </c>
      <c r="BK103" s="34" t="s">
        <v>64</v>
      </c>
      <c r="BL103" s="31">
        <v>713</v>
      </c>
      <c r="BW103" s="31">
        <f>I103</f>
        <v>21</v>
      </c>
      <c r="BX103" s="4" t="s">
        <v>194</v>
      </c>
    </row>
    <row r="104" spans="1:76" x14ac:dyDescent="0.25">
      <c r="A104" s="43"/>
      <c r="B104" s="44"/>
      <c r="C104" s="44"/>
      <c r="D104" s="87" t="s">
        <v>860</v>
      </c>
      <c r="E104" s="36" t="s">
        <v>53</v>
      </c>
      <c r="F104" s="44"/>
      <c r="G104" s="37">
        <v>62.643000000000001</v>
      </c>
      <c r="H104" s="44"/>
      <c r="I104" s="44"/>
      <c r="J104" s="44"/>
      <c r="K104" s="44"/>
      <c r="L104" s="44"/>
      <c r="M104" s="44"/>
      <c r="N104" s="44"/>
      <c r="O104" s="44"/>
      <c r="P104" s="45"/>
      <c r="BX104" t="s">
        <v>860</v>
      </c>
    </row>
    <row r="105" spans="1:76" x14ac:dyDescent="0.25">
      <c r="A105" s="43"/>
      <c r="B105" s="44"/>
      <c r="C105" s="44"/>
      <c r="D105" s="95" t="s">
        <v>195</v>
      </c>
      <c r="E105" s="36" t="s">
        <v>53</v>
      </c>
      <c r="F105" s="44"/>
      <c r="G105" s="37">
        <v>7.7872000000000012</v>
      </c>
      <c r="H105" s="44"/>
      <c r="I105" s="44"/>
      <c r="J105" s="44"/>
      <c r="K105" s="44"/>
      <c r="L105" s="44"/>
      <c r="M105" s="44"/>
      <c r="N105" s="44"/>
      <c r="O105" s="44"/>
      <c r="P105" s="45"/>
      <c r="BX105" t="s">
        <v>195</v>
      </c>
    </row>
    <row r="106" spans="1:76" ht="25.5" x14ac:dyDescent="0.25">
      <c r="A106" s="43"/>
      <c r="B106" s="44"/>
      <c r="C106" s="44"/>
      <c r="D106" s="95" t="s">
        <v>196</v>
      </c>
      <c r="E106" s="36" t="s">
        <v>53</v>
      </c>
      <c r="F106" s="44"/>
      <c r="G106" s="37">
        <v>45.718400000000003</v>
      </c>
      <c r="H106" s="44"/>
      <c r="I106" s="44"/>
      <c r="J106" s="44"/>
      <c r="K106" s="44"/>
      <c r="L106" s="44"/>
      <c r="M106" s="44"/>
      <c r="N106" s="44"/>
      <c r="O106" s="44"/>
      <c r="P106" s="45"/>
      <c r="BX106" t="s">
        <v>196</v>
      </c>
    </row>
    <row r="107" spans="1:76" x14ac:dyDescent="0.25">
      <c r="A107" s="43"/>
      <c r="B107" s="44"/>
      <c r="C107" s="44"/>
      <c r="D107" s="95" t="s">
        <v>197</v>
      </c>
      <c r="E107" s="36" t="s">
        <v>53</v>
      </c>
      <c r="F107" s="44"/>
      <c r="G107" s="37">
        <v>0.59660000000000002</v>
      </c>
      <c r="H107" s="44"/>
      <c r="I107" s="44"/>
      <c r="J107" s="44"/>
      <c r="K107" s="44"/>
      <c r="L107" s="44"/>
      <c r="M107" s="44"/>
      <c r="N107" s="44"/>
      <c r="O107" s="44"/>
      <c r="P107" s="45"/>
      <c r="BX107" t="s">
        <v>197</v>
      </c>
    </row>
    <row r="108" spans="1:76" x14ac:dyDescent="0.25">
      <c r="A108" s="43"/>
      <c r="B108" s="44"/>
      <c r="C108" s="44"/>
      <c r="D108" s="95" t="s">
        <v>198</v>
      </c>
      <c r="E108" s="36" t="s">
        <v>53</v>
      </c>
      <c r="F108" s="44"/>
      <c r="G108" s="37">
        <v>0.84152000000000005</v>
      </c>
      <c r="H108" s="44"/>
      <c r="I108" s="44"/>
      <c r="J108" s="44"/>
      <c r="K108" s="44"/>
      <c r="L108" s="44"/>
      <c r="M108" s="44"/>
      <c r="N108" s="44"/>
      <c r="O108" s="44"/>
      <c r="P108" s="45"/>
      <c r="BX108" t="s">
        <v>198</v>
      </c>
    </row>
    <row r="109" spans="1:76" x14ac:dyDescent="0.25">
      <c r="A109" s="43"/>
      <c r="B109" s="44"/>
      <c r="C109" s="44"/>
      <c r="D109" s="95" t="s">
        <v>199</v>
      </c>
      <c r="E109" s="36" t="s">
        <v>53</v>
      </c>
      <c r="F109" s="44"/>
      <c r="G109" s="37">
        <v>4.00664</v>
      </c>
      <c r="H109" s="44"/>
      <c r="I109" s="44"/>
      <c r="J109" s="44"/>
      <c r="K109" s="44"/>
      <c r="L109" s="44"/>
      <c r="M109" s="44"/>
      <c r="N109" s="44"/>
      <c r="O109" s="44"/>
      <c r="P109" s="45"/>
      <c r="BX109" t="s">
        <v>199</v>
      </c>
    </row>
    <row r="110" spans="1:76" x14ac:dyDescent="0.25">
      <c r="A110" s="43"/>
      <c r="B110" s="44"/>
      <c r="C110" s="44"/>
      <c r="D110" s="95" t="s">
        <v>200</v>
      </c>
      <c r="E110" s="36" t="s">
        <v>53</v>
      </c>
      <c r="F110" s="44"/>
      <c r="G110" s="37">
        <v>0.78186</v>
      </c>
      <c r="H110" s="44"/>
      <c r="I110" s="44"/>
      <c r="J110" s="44"/>
      <c r="K110" s="44"/>
      <c r="L110" s="44"/>
      <c r="M110" s="44"/>
      <c r="N110" s="44"/>
      <c r="O110" s="44"/>
      <c r="P110" s="45"/>
      <c r="BX110" t="s">
        <v>200</v>
      </c>
    </row>
    <row r="111" spans="1:76" x14ac:dyDescent="0.25">
      <c r="A111" s="43"/>
      <c r="B111" s="44"/>
      <c r="C111" s="44"/>
      <c r="D111" s="95" t="s">
        <v>201</v>
      </c>
      <c r="E111" s="36" t="s">
        <v>53</v>
      </c>
      <c r="F111" s="44"/>
      <c r="G111" s="37">
        <v>0.60099599999999997</v>
      </c>
      <c r="H111" s="44"/>
      <c r="I111" s="44"/>
      <c r="J111" s="44"/>
      <c r="K111" s="44"/>
      <c r="L111" s="44"/>
      <c r="M111" s="44"/>
      <c r="N111" s="44"/>
      <c r="O111" s="44"/>
      <c r="P111" s="45"/>
      <c r="BX111" t="s">
        <v>201</v>
      </c>
    </row>
    <row r="112" spans="1:76" x14ac:dyDescent="0.25">
      <c r="A112" s="2">
        <f>A103+1</f>
        <v>32</v>
      </c>
      <c r="B112" s="3" t="s">
        <v>53</v>
      </c>
      <c r="C112" s="3" t="s">
        <v>202</v>
      </c>
      <c r="D112" s="310" t="s">
        <v>1184</v>
      </c>
      <c r="E112" s="307"/>
      <c r="F112" s="3" t="s">
        <v>59</v>
      </c>
      <c r="G112" s="31">
        <v>64.504391999999996</v>
      </c>
      <c r="H112" s="31">
        <v>0</v>
      </c>
      <c r="I112" s="32">
        <v>21</v>
      </c>
      <c r="J112" s="31">
        <f>ROUND(G112*AO112,2)</f>
        <v>0</v>
      </c>
      <c r="K112" s="31">
        <f>ROUND(G112*AP112,2)</f>
        <v>0</v>
      </c>
      <c r="L112" s="31">
        <f>ROUND(G112*H112,2)</f>
        <v>0</v>
      </c>
      <c r="M112" s="31">
        <f>L112*(1+BW112/100)</f>
        <v>0</v>
      </c>
      <c r="N112" s="31">
        <v>6.3E-3</v>
      </c>
      <c r="O112" s="31">
        <f>G112*N112</f>
        <v>0.40637766959999999</v>
      </c>
      <c r="P112" s="33" t="s">
        <v>60</v>
      </c>
      <c r="Z112" s="31">
        <f>ROUND(IF(AQ112="5",BJ112,0),2)</f>
        <v>0</v>
      </c>
      <c r="AB112" s="31">
        <f>ROUND(IF(AQ112="1",BH112,0),2)</f>
        <v>0</v>
      </c>
      <c r="AC112" s="31">
        <f>ROUND(IF(AQ112="1",BI112,0),2)</f>
        <v>0</v>
      </c>
      <c r="AD112" s="31">
        <f>ROUND(IF(AQ112="7",BH112,0),2)</f>
        <v>0</v>
      </c>
      <c r="AE112" s="31">
        <f>ROUND(IF(AQ112="7",BI112,0),2)</f>
        <v>0</v>
      </c>
      <c r="AF112" s="31">
        <f>ROUND(IF(AQ112="2",BH112,0),2)</f>
        <v>0</v>
      </c>
      <c r="AG112" s="31">
        <f>ROUND(IF(AQ112="2",BI112,0),2)</f>
        <v>0</v>
      </c>
      <c r="AH112" s="31">
        <f>ROUND(IF(AQ112="0",BJ112,0),2)</f>
        <v>0</v>
      </c>
      <c r="AI112" s="12" t="s">
        <v>53</v>
      </c>
      <c r="AJ112" s="31">
        <f>IF(AN112=0,L112,0)</f>
        <v>0</v>
      </c>
      <c r="AK112" s="31">
        <f>IF(AN112=12,L112,0)</f>
        <v>0</v>
      </c>
      <c r="AL112" s="31">
        <f>IF(AN112=21,L112,0)</f>
        <v>0</v>
      </c>
      <c r="AN112" s="31">
        <v>21</v>
      </c>
      <c r="AO112" s="31">
        <f>H112*1</f>
        <v>0</v>
      </c>
      <c r="AP112" s="31">
        <f>H112*(1-1)</f>
        <v>0</v>
      </c>
      <c r="AQ112" s="34" t="s">
        <v>95</v>
      </c>
      <c r="AV112" s="31">
        <f>ROUND(AW112+AX112,2)</f>
        <v>0</v>
      </c>
      <c r="AW112" s="31">
        <f>ROUND(G112*AO112,2)</f>
        <v>0</v>
      </c>
      <c r="AX112" s="31">
        <f>ROUND(G112*AP112,2)</f>
        <v>0</v>
      </c>
      <c r="AY112" s="34" t="s">
        <v>190</v>
      </c>
      <c r="AZ112" s="34" t="s">
        <v>179</v>
      </c>
      <c r="BA112" s="12" t="s">
        <v>63</v>
      </c>
      <c r="BC112" s="31">
        <f>AW112+AX112</f>
        <v>0</v>
      </c>
      <c r="BD112" s="31">
        <f>H112/(100-BE112)*100</f>
        <v>0</v>
      </c>
      <c r="BE112" s="31">
        <v>0</v>
      </c>
      <c r="BF112" s="31">
        <f>O112</f>
        <v>0.40637766959999999</v>
      </c>
      <c r="BH112" s="31">
        <f>G112*AO112</f>
        <v>0</v>
      </c>
      <c r="BI112" s="31">
        <f>G112*AP112</f>
        <v>0</v>
      </c>
      <c r="BJ112" s="31">
        <f>G112*H112</f>
        <v>0</v>
      </c>
      <c r="BK112" s="34" t="s">
        <v>203</v>
      </c>
      <c r="BL112" s="31">
        <v>713</v>
      </c>
      <c r="BW112" s="31">
        <f>I112</f>
        <v>21</v>
      </c>
      <c r="BX112" s="4" t="s">
        <v>1184</v>
      </c>
    </row>
    <row r="113" spans="1:76" x14ac:dyDescent="0.25">
      <c r="A113" s="43"/>
      <c r="B113" s="44"/>
      <c r="C113" s="44"/>
      <c r="D113" s="87" t="s">
        <v>860</v>
      </c>
      <c r="E113" s="36" t="s">
        <v>53</v>
      </c>
      <c r="F113" s="44"/>
      <c r="G113" s="37">
        <v>63.895859999999999</v>
      </c>
      <c r="H113" s="44"/>
      <c r="I113" s="44"/>
      <c r="J113" s="44"/>
      <c r="K113" s="44"/>
      <c r="L113" s="44"/>
      <c r="M113" s="44"/>
      <c r="N113" s="44"/>
      <c r="O113" s="44"/>
      <c r="P113" s="45"/>
      <c r="BX113" t="s">
        <v>860</v>
      </c>
    </row>
    <row r="114" spans="1:76" x14ac:dyDescent="0.25">
      <c r="A114" s="43"/>
      <c r="B114" s="44"/>
      <c r="C114" s="44"/>
      <c r="D114" s="87" t="s">
        <v>204</v>
      </c>
      <c r="E114" s="36" t="s">
        <v>53</v>
      </c>
      <c r="F114" s="44"/>
      <c r="G114" s="37">
        <v>0.60853200000000007</v>
      </c>
      <c r="H114" s="44"/>
      <c r="I114" s="44"/>
      <c r="J114" s="44"/>
      <c r="K114" s="44"/>
      <c r="L114" s="44"/>
      <c r="M114" s="44"/>
      <c r="N114" s="44"/>
      <c r="O114" s="44"/>
      <c r="P114" s="45"/>
      <c r="BX114" t="s">
        <v>204</v>
      </c>
    </row>
    <row r="115" spans="1:76" x14ac:dyDescent="0.25">
      <c r="A115" s="2">
        <f>A112+1</f>
        <v>33</v>
      </c>
      <c r="B115" s="3" t="s">
        <v>53</v>
      </c>
      <c r="C115" s="3" t="s">
        <v>205</v>
      </c>
      <c r="D115" s="310" t="s">
        <v>1185</v>
      </c>
      <c r="E115" s="307"/>
      <c r="F115" s="3" t="s">
        <v>59</v>
      </c>
      <c r="G115" s="31">
        <v>7.9429440000000016</v>
      </c>
      <c r="H115" s="31">
        <v>0</v>
      </c>
      <c r="I115" s="32">
        <v>21</v>
      </c>
      <c r="J115" s="31">
        <f>ROUND(G115*AO115,2)</f>
        <v>0</v>
      </c>
      <c r="K115" s="31">
        <f>ROUND(G115*AP115,2)</f>
        <v>0</v>
      </c>
      <c r="L115" s="31">
        <f>ROUND(G115*H115,2)</f>
        <v>0</v>
      </c>
      <c r="M115" s="31">
        <f>L115*(1+BW115/100)</f>
        <v>0</v>
      </c>
      <c r="N115" s="31">
        <v>4.8799999999999998E-3</v>
      </c>
      <c r="O115" s="31">
        <f>G115*N115</f>
        <v>3.8761566720000008E-2</v>
      </c>
      <c r="P115" s="33" t="s">
        <v>60</v>
      </c>
      <c r="Z115" s="31">
        <f>ROUND(IF(AQ115="5",BJ115,0),2)</f>
        <v>0</v>
      </c>
      <c r="AB115" s="31">
        <f>ROUND(IF(AQ115="1",BH115,0),2)</f>
        <v>0</v>
      </c>
      <c r="AC115" s="31">
        <f>ROUND(IF(AQ115="1",BI115,0),2)</f>
        <v>0</v>
      </c>
      <c r="AD115" s="31">
        <f>ROUND(IF(AQ115="7",BH115,0),2)</f>
        <v>0</v>
      </c>
      <c r="AE115" s="31">
        <f>ROUND(IF(AQ115="7",BI115,0),2)</f>
        <v>0</v>
      </c>
      <c r="AF115" s="31">
        <f>ROUND(IF(AQ115="2",BH115,0),2)</f>
        <v>0</v>
      </c>
      <c r="AG115" s="31">
        <f>ROUND(IF(AQ115="2",BI115,0),2)</f>
        <v>0</v>
      </c>
      <c r="AH115" s="31">
        <f>ROUND(IF(AQ115="0",BJ115,0),2)</f>
        <v>0</v>
      </c>
      <c r="AI115" s="12" t="s">
        <v>53</v>
      </c>
      <c r="AJ115" s="31">
        <f>IF(AN115=0,L115,0)</f>
        <v>0</v>
      </c>
      <c r="AK115" s="31">
        <f>IF(AN115=12,L115,0)</f>
        <v>0</v>
      </c>
      <c r="AL115" s="31">
        <f>IF(AN115=21,L115,0)</f>
        <v>0</v>
      </c>
      <c r="AN115" s="31">
        <v>21</v>
      </c>
      <c r="AO115" s="31">
        <f>H115*1</f>
        <v>0</v>
      </c>
      <c r="AP115" s="31">
        <f>H115*(1-1)</f>
        <v>0</v>
      </c>
      <c r="AQ115" s="34" t="s">
        <v>95</v>
      </c>
      <c r="AV115" s="31">
        <f>ROUND(AW115+AX115,2)</f>
        <v>0</v>
      </c>
      <c r="AW115" s="31">
        <f>ROUND(G115*AO115,2)</f>
        <v>0</v>
      </c>
      <c r="AX115" s="31">
        <f>ROUND(G115*AP115,2)</f>
        <v>0</v>
      </c>
      <c r="AY115" s="34" t="s">
        <v>190</v>
      </c>
      <c r="AZ115" s="34" t="s">
        <v>179</v>
      </c>
      <c r="BA115" s="12" t="s">
        <v>63</v>
      </c>
      <c r="BC115" s="31">
        <f>AW115+AX115</f>
        <v>0</v>
      </c>
      <c r="BD115" s="31">
        <f>H115/(100-BE115)*100</f>
        <v>0</v>
      </c>
      <c r="BE115" s="31">
        <v>0</v>
      </c>
      <c r="BF115" s="31">
        <f>O115</f>
        <v>3.8761566720000008E-2</v>
      </c>
      <c r="BH115" s="31">
        <f>G115*AO115</f>
        <v>0</v>
      </c>
      <c r="BI115" s="31">
        <f>G115*AP115</f>
        <v>0</v>
      </c>
      <c r="BJ115" s="31">
        <f>G115*H115</f>
        <v>0</v>
      </c>
      <c r="BK115" s="34" t="s">
        <v>203</v>
      </c>
      <c r="BL115" s="31">
        <v>713</v>
      </c>
      <c r="BW115" s="31">
        <f>I115</f>
        <v>21</v>
      </c>
      <c r="BX115" s="4" t="s">
        <v>1185</v>
      </c>
    </row>
    <row r="116" spans="1:76" x14ac:dyDescent="0.25">
      <c r="A116" s="43"/>
      <c r="B116" s="44"/>
      <c r="C116" s="44"/>
      <c r="D116" s="87" t="s">
        <v>206</v>
      </c>
      <c r="E116" s="36" t="s">
        <v>53</v>
      </c>
      <c r="F116" s="44"/>
      <c r="G116" s="37">
        <v>7.9429440000000016</v>
      </c>
      <c r="H116" s="44"/>
      <c r="I116" s="44"/>
      <c r="J116" s="44"/>
      <c r="K116" s="44"/>
      <c r="L116" s="44"/>
      <c r="M116" s="44"/>
      <c r="N116" s="44"/>
      <c r="O116" s="44"/>
      <c r="P116" s="45"/>
      <c r="BX116" t="s">
        <v>206</v>
      </c>
    </row>
    <row r="117" spans="1:76" x14ac:dyDescent="0.25">
      <c r="A117" s="2">
        <f>A115+1</f>
        <v>34</v>
      </c>
      <c r="B117" s="3" t="s">
        <v>53</v>
      </c>
      <c r="C117" s="3" t="s">
        <v>207</v>
      </c>
      <c r="D117" s="310" t="s">
        <v>1186</v>
      </c>
      <c r="E117" s="307"/>
      <c r="F117" s="3" t="s">
        <v>59</v>
      </c>
      <c r="G117" s="31">
        <v>46.632768000000006</v>
      </c>
      <c r="H117" s="31">
        <v>0</v>
      </c>
      <c r="I117" s="32">
        <v>21</v>
      </c>
      <c r="J117" s="31">
        <f>ROUND(G117*AO117,2)</f>
        <v>0</v>
      </c>
      <c r="K117" s="31">
        <f>ROUND(G117*AP117,2)</f>
        <v>0</v>
      </c>
      <c r="L117" s="31">
        <f>ROUND(G117*H117,2)</f>
        <v>0</v>
      </c>
      <c r="M117" s="31">
        <f>L117*(1+BW117/100)</f>
        <v>0</v>
      </c>
      <c r="N117" s="31">
        <v>1.03E-2</v>
      </c>
      <c r="O117" s="31">
        <f>G117*N117</f>
        <v>0.48031751040000009</v>
      </c>
      <c r="P117" s="33" t="s">
        <v>60</v>
      </c>
      <c r="Z117" s="31">
        <f>ROUND(IF(AQ117="5",BJ117,0),2)</f>
        <v>0</v>
      </c>
      <c r="AB117" s="31">
        <f>ROUND(IF(AQ117="1",BH117,0),2)</f>
        <v>0</v>
      </c>
      <c r="AC117" s="31">
        <f>ROUND(IF(AQ117="1",BI117,0),2)</f>
        <v>0</v>
      </c>
      <c r="AD117" s="31">
        <f>ROUND(IF(AQ117="7",BH117,0),2)</f>
        <v>0</v>
      </c>
      <c r="AE117" s="31">
        <f>ROUND(IF(AQ117="7",BI117,0),2)</f>
        <v>0</v>
      </c>
      <c r="AF117" s="31">
        <f>ROUND(IF(AQ117="2",BH117,0),2)</f>
        <v>0</v>
      </c>
      <c r="AG117" s="31">
        <f>ROUND(IF(AQ117="2",BI117,0),2)</f>
        <v>0</v>
      </c>
      <c r="AH117" s="31">
        <f>ROUND(IF(AQ117="0",BJ117,0),2)</f>
        <v>0</v>
      </c>
      <c r="AI117" s="12" t="s">
        <v>53</v>
      </c>
      <c r="AJ117" s="31">
        <f>IF(AN117=0,L117,0)</f>
        <v>0</v>
      </c>
      <c r="AK117" s="31">
        <f>IF(AN117=12,L117,0)</f>
        <v>0</v>
      </c>
      <c r="AL117" s="31">
        <f>IF(AN117=21,L117,0)</f>
        <v>0</v>
      </c>
      <c r="AN117" s="31">
        <v>21</v>
      </c>
      <c r="AO117" s="31">
        <f>H117*1</f>
        <v>0</v>
      </c>
      <c r="AP117" s="31">
        <f>H117*(1-1)</f>
        <v>0</v>
      </c>
      <c r="AQ117" s="34" t="s">
        <v>95</v>
      </c>
      <c r="AV117" s="31">
        <f>ROUND(AW117+AX117,2)</f>
        <v>0</v>
      </c>
      <c r="AW117" s="31">
        <f>ROUND(G117*AO117,2)</f>
        <v>0</v>
      </c>
      <c r="AX117" s="31">
        <f>ROUND(G117*AP117,2)</f>
        <v>0</v>
      </c>
      <c r="AY117" s="34" t="s">
        <v>190</v>
      </c>
      <c r="AZ117" s="34" t="s">
        <v>179</v>
      </c>
      <c r="BA117" s="12" t="s">
        <v>63</v>
      </c>
      <c r="BC117" s="31">
        <f>AW117+AX117</f>
        <v>0</v>
      </c>
      <c r="BD117" s="31">
        <f>H117/(100-BE117)*100</f>
        <v>0</v>
      </c>
      <c r="BE117" s="31">
        <v>0</v>
      </c>
      <c r="BF117" s="31">
        <f>O117</f>
        <v>0.48031751040000009</v>
      </c>
      <c r="BH117" s="31">
        <f>G117*AO117</f>
        <v>0</v>
      </c>
      <c r="BI117" s="31">
        <f>G117*AP117</f>
        <v>0</v>
      </c>
      <c r="BJ117" s="31">
        <f>G117*H117</f>
        <v>0</v>
      </c>
      <c r="BK117" s="34" t="s">
        <v>203</v>
      </c>
      <c r="BL117" s="31">
        <v>713</v>
      </c>
      <c r="BW117" s="31">
        <f>I117</f>
        <v>21</v>
      </c>
      <c r="BX117" s="4" t="s">
        <v>1186</v>
      </c>
    </row>
    <row r="118" spans="1:76" ht="25.5" x14ac:dyDescent="0.25">
      <c r="A118" s="43"/>
      <c r="B118" s="44"/>
      <c r="C118" s="44"/>
      <c r="D118" s="87" t="s">
        <v>208</v>
      </c>
      <c r="E118" s="36" t="s">
        <v>53</v>
      </c>
      <c r="F118" s="44"/>
      <c r="G118" s="37">
        <v>46.632768000000006</v>
      </c>
      <c r="H118" s="44"/>
      <c r="I118" s="44"/>
      <c r="J118" s="44"/>
      <c r="K118" s="44"/>
      <c r="L118" s="44"/>
      <c r="M118" s="44"/>
      <c r="N118" s="44"/>
      <c r="O118" s="44"/>
      <c r="P118" s="45"/>
      <c r="BX118" t="s">
        <v>208</v>
      </c>
    </row>
    <row r="119" spans="1:76" x14ac:dyDescent="0.25">
      <c r="A119" s="2">
        <f>A117+1</f>
        <v>35</v>
      </c>
      <c r="B119" s="3" t="s">
        <v>53</v>
      </c>
      <c r="C119" s="3" t="s">
        <v>193</v>
      </c>
      <c r="D119" s="310" t="s">
        <v>209</v>
      </c>
      <c r="E119" s="307"/>
      <c r="F119" s="3" t="s">
        <v>59</v>
      </c>
      <c r="G119" s="31">
        <v>554.51395200000013</v>
      </c>
      <c r="H119" s="31">
        <v>0</v>
      </c>
      <c r="I119" s="32">
        <v>21</v>
      </c>
      <c r="J119" s="31">
        <f>ROUND(G119*AO119,2)</f>
        <v>0</v>
      </c>
      <c r="K119" s="31">
        <f>ROUND(G119*AP119,2)</f>
        <v>0</v>
      </c>
      <c r="L119" s="31">
        <f>ROUND(G119*H119,2)</f>
        <v>0</v>
      </c>
      <c r="M119" s="31">
        <f>L119*(1+BW119/100)</f>
        <v>0</v>
      </c>
      <c r="N119" s="31">
        <v>6.2E-4</v>
      </c>
      <c r="O119" s="31">
        <f>G119*N119</f>
        <v>0.34379865024000006</v>
      </c>
      <c r="P119" s="33" t="s">
        <v>60</v>
      </c>
      <c r="Z119" s="31">
        <f>ROUND(IF(AQ119="5",BJ119,0),2)</f>
        <v>0</v>
      </c>
      <c r="AB119" s="31">
        <f>ROUND(IF(AQ119="1",BH119,0),2)</f>
        <v>0</v>
      </c>
      <c r="AC119" s="31">
        <f>ROUND(IF(AQ119="1",BI119,0),2)</f>
        <v>0</v>
      </c>
      <c r="AD119" s="31">
        <f>ROUND(IF(AQ119="7",BH119,0),2)</f>
        <v>0</v>
      </c>
      <c r="AE119" s="31">
        <f>ROUND(IF(AQ119="7",BI119,0),2)</f>
        <v>0</v>
      </c>
      <c r="AF119" s="31">
        <f>ROUND(IF(AQ119="2",BH119,0),2)</f>
        <v>0</v>
      </c>
      <c r="AG119" s="31">
        <f>ROUND(IF(AQ119="2",BI119,0),2)</f>
        <v>0</v>
      </c>
      <c r="AH119" s="31">
        <f>ROUND(IF(AQ119="0",BJ119,0),2)</f>
        <v>0</v>
      </c>
      <c r="AI119" s="12" t="s">
        <v>53</v>
      </c>
      <c r="AJ119" s="31">
        <f>IF(AN119=0,L119,0)</f>
        <v>0</v>
      </c>
      <c r="AK119" s="31">
        <f>IF(AN119=12,L119,0)</f>
        <v>0</v>
      </c>
      <c r="AL119" s="31">
        <f>IF(AN119=21,L119,0)</f>
        <v>0</v>
      </c>
      <c r="AN119" s="31">
        <v>21</v>
      </c>
      <c r="AO119" s="31">
        <f>H119*0.087777796</f>
        <v>0</v>
      </c>
      <c r="AP119" s="31">
        <f>H119*(1-0.087777796)</f>
        <v>0</v>
      </c>
      <c r="AQ119" s="34" t="s">
        <v>95</v>
      </c>
      <c r="AV119" s="31">
        <f>ROUND(AW119+AX119,2)</f>
        <v>0</v>
      </c>
      <c r="AW119" s="31">
        <f>ROUND(G119*AO119,2)</f>
        <v>0</v>
      </c>
      <c r="AX119" s="31">
        <f>ROUND(G119*AP119,2)</f>
        <v>0</v>
      </c>
      <c r="AY119" s="34" t="s">
        <v>190</v>
      </c>
      <c r="AZ119" s="34" t="s">
        <v>179</v>
      </c>
      <c r="BA119" s="12" t="s">
        <v>63</v>
      </c>
      <c r="BC119" s="31">
        <f>AW119+AX119</f>
        <v>0</v>
      </c>
      <c r="BD119" s="31">
        <f>H119/(100-BE119)*100</f>
        <v>0</v>
      </c>
      <c r="BE119" s="31">
        <v>0</v>
      </c>
      <c r="BF119" s="31">
        <f>O119</f>
        <v>0.34379865024000006</v>
      </c>
      <c r="BH119" s="31">
        <f>G119*AO119</f>
        <v>0</v>
      </c>
      <c r="BI119" s="31">
        <f>G119*AP119</f>
        <v>0</v>
      </c>
      <c r="BJ119" s="31">
        <f>G119*H119</f>
        <v>0</v>
      </c>
      <c r="BK119" s="34" t="s">
        <v>64</v>
      </c>
      <c r="BL119" s="31">
        <v>713</v>
      </c>
      <c r="BW119" s="31">
        <f>I119</f>
        <v>21</v>
      </c>
      <c r="BX119" s="4" t="s">
        <v>209</v>
      </c>
    </row>
    <row r="120" spans="1:76" x14ac:dyDescent="0.25">
      <c r="A120" s="35"/>
      <c r="D120" s="87" t="s">
        <v>1147</v>
      </c>
      <c r="E120" s="102" t="s">
        <v>53</v>
      </c>
      <c r="F120" s="284"/>
      <c r="G120" s="37">
        <v>552.9690720000001</v>
      </c>
      <c r="P120" s="38"/>
      <c r="BX120" t="s">
        <v>1147</v>
      </c>
    </row>
    <row r="121" spans="1:76" x14ac:dyDescent="0.25">
      <c r="A121" s="35"/>
      <c r="D121" s="87" t="s">
        <v>1145</v>
      </c>
      <c r="E121" s="102" t="s">
        <v>53</v>
      </c>
      <c r="F121" s="284"/>
      <c r="G121" s="37">
        <v>1.54488</v>
      </c>
      <c r="P121" s="38"/>
      <c r="BX121" t="s">
        <v>1145</v>
      </c>
    </row>
    <row r="122" spans="1:76" x14ac:dyDescent="0.25">
      <c r="A122" s="2">
        <f>A119+1</f>
        <v>36</v>
      </c>
      <c r="B122" s="3" t="s">
        <v>53</v>
      </c>
      <c r="C122" s="3" t="s">
        <v>205</v>
      </c>
      <c r="D122" s="310" t="s">
        <v>1187</v>
      </c>
      <c r="E122" s="307"/>
      <c r="F122" s="3" t="s">
        <v>59</v>
      </c>
      <c r="G122" s="31">
        <v>1.5757776000000001</v>
      </c>
      <c r="H122" s="31">
        <v>0</v>
      </c>
      <c r="I122" s="32">
        <v>21</v>
      </c>
      <c r="J122" s="31">
        <f>ROUND(G122*AO122,2)</f>
        <v>0</v>
      </c>
      <c r="K122" s="31">
        <f>ROUND(G122*AP122,2)</f>
        <v>0</v>
      </c>
      <c r="L122" s="31">
        <f>ROUND(G122*H122,2)</f>
        <v>0</v>
      </c>
      <c r="M122" s="31">
        <f>L122*(1+BW122/100)</f>
        <v>0</v>
      </c>
      <c r="N122" s="31">
        <v>4.8799999999999998E-3</v>
      </c>
      <c r="O122" s="31">
        <f>G122*N122</f>
        <v>7.6897946880000005E-3</v>
      </c>
      <c r="P122" s="33" t="s">
        <v>60</v>
      </c>
      <c r="Z122" s="31">
        <f>ROUND(IF(AQ122="5",BJ122,0),2)</f>
        <v>0</v>
      </c>
      <c r="AB122" s="31">
        <f>ROUND(IF(AQ122="1",BH122,0),2)</f>
        <v>0</v>
      </c>
      <c r="AC122" s="31">
        <f>ROUND(IF(AQ122="1",BI122,0),2)</f>
        <v>0</v>
      </c>
      <c r="AD122" s="31">
        <f>ROUND(IF(AQ122="7",BH122,0),2)</f>
        <v>0</v>
      </c>
      <c r="AE122" s="31">
        <f>ROUND(IF(AQ122="7",BI122,0),2)</f>
        <v>0</v>
      </c>
      <c r="AF122" s="31">
        <f>ROUND(IF(AQ122="2",BH122,0),2)</f>
        <v>0</v>
      </c>
      <c r="AG122" s="31">
        <f>ROUND(IF(AQ122="2",BI122,0),2)</f>
        <v>0</v>
      </c>
      <c r="AH122" s="31">
        <f>ROUND(IF(AQ122="0",BJ122,0),2)</f>
        <v>0</v>
      </c>
      <c r="AI122" s="12" t="s">
        <v>53</v>
      </c>
      <c r="AJ122" s="31">
        <f>IF(AN122=0,L122,0)</f>
        <v>0</v>
      </c>
      <c r="AK122" s="31">
        <f>IF(AN122=12,L122,0)</f>
        <v>0</v>
      </c>
      <c r="AL122" s="31">
        <f>IF(AN122=21,L122,0)</f>
        <v>0</v>
      </c>
      <c r="AN122" s="31">
        <v>21</v>
      </c>
      <c r="AO122" s="31">
        <f>H122*1</f>
        <v>0</v>
      </c>
      <c r="AP122" s="31">
        <f>H122*(1-1)</f>
        <v>0</v>
      </c>
      <c r="AQ122" s="34" t="s">
        <v>95</v>
      </c>
      <c r="AV122" s="31">
        <f>ROUND(AW122+AX122,2)</f>
        <v>0</v>
      </c>
      <c r="AW122" s="31">
        <f>ROUND(G122*AO122,2)</f>
        <v>0</v>
      </c>
      <c r="AX122" s="31">
        <f>ROUND(G122*AP122,2)</f>
        <v>0</v>
      </c>
      <c r="AY122" s="34" t="s">
        <v>190</v>
      </c>
      <c r="AZ122" s="34" t="s">
        <v>179</v>
      </c>
      <c r="BA122" s="12" t="s">
        <v>63</v>
      </c>
      <c r="BC122" s="31">
        <f>AW122+AX122</f>
        <v>0</v>
      </c>
      <c r="BD122" s="31">
        <f>H122/(100-BE122)*100</f>
        <v>0</v>
      </c>
      <c r="BE122" s="31">
        <v>0</v>
      </c>
      <c r="BF122" s="31">
        <f>O122</f>
        <v>7.6897946880000005E-3</v>
      </c>
      <c r="BH122" s="31">
        <f>G122*AO122</f>
        <v>0</v>
      </c>
      <c r="BI122" s="31">
        <f>G122*AP122</f>
        <v>0</v>
      </c>
      <c r="BJ122" s="31">
        <f>G122*H122</f>
        <v>0</v>
      </c>
      <c r="BK122" s="34" t="s">
        <v>203</v>
      </c>
      <c r="BL122" s="31">
        <v>713</v>
      </c>
      <c r="BW122" s="31">
        <f>I122</f>
        <v>21</v>
      </c>
      <c r="BX122" s="4" t="s">
        <v>1187</v>
      </c>
    </row>
    <row r="123" spans="1:76" x14ac:dyDescent="0.25">
      <c r="A123" s="35"/>
      <c r="D123" s="87" t="s">
        <v>1146</v>
      </c>
      <c r="E123" s="102" t="s">
        <v>53</v>
      </c>
      <c r="F123" s="284"/>
      <c r="G123" s="37">
        <v>1.5757776000000001</v>
      </c>
      <c r="P123" s="38"/>
      <c r="BX123" t="s">
        <v>1146</v>
      </c>
    </row>
    <row r="124" spans="1:76" x14ac:dyDescent="0.25">
      <c r="A124" s="2">
        <f>A122+1</f>
        <v>37</v>
      </c>
      <c r="B124" s="3" t="s">
        <v>53</v>
      </c>
      <c r="C124" s="3" t="s">
        <v>202</v>
      </c>
      <c r="D124" s="310" t="s">
        <v>1188</v>
      </c>
      <c r="E124" s="307"/>
      <c r="F124" s="3" t="s">
        <v>59</v>
      </c>
      <c r="G124" s="31">
        <v>564.02845344000013</v>
      </c>
      <c r="H124" s="31">
        <v>0</v>
      </c>
      <c r="I124" s="32">
        <v>21</v>
      </c>
      <c r="J124" s="31">
        <f>ROUND(G124*AO124,2)</f>
        <v>0</v>
      </c>
      <c r="K124" s="31">
        <f>ROUND(G124*AP124,2)</f>
        <v>0</v>
      </c>
      <c r="L124" s="31">
        <f>ROUND(G124*H124,2)</f>
        <v>0</v>
      </c>
      <c r="M124" s="31">
        <f>L124*(1+BW124/100)</f>
        <v>0</v>
      </c>
      <c r="N124" s="31">
        <v>6.3E-3</v>
      </c>
      <c r="O124" s="31">
        <f>G124*N124</f>
        <v>3.5533792566720011</v>
      </c>
      <c r="P124" s="33" t="s">
        <v>60</v>
      </c>
      <c r="Z124" s="31">
        <f>ROUND(IF(AQ124="5",BJ124,0),2)</f>
        <v>0</v>
      </c>
      <c r="AB124" s="31">
        <f>ROUND(IF(AQ124="1",BH124,0),2)</f>
        <v>0</v>
      </c>
      <c r="AC124" s="31">
        <f>ROUND(IF(AQ124="1",BI124,0),2)</f>
        <v>0</v>
      </c>
      <c r="AD124" s="31">
        <f>ROUND(IF(AQ124="7",BH124,0),2)</f>
        <v>0</v>
      </c>
      <c r="AE124" s="31">
        <f>ROUND(IF(AQ124="7",BI124,0),2)</f>
        <v>0</v>
      </c>
      <c r="AF124" s="31">
        <f>ROUND(IF(AQ124="2",BH124,0),2)</f>
        <v>0</v>
      </c>
      <c r="AG124" s="31">
        <f>ROUND(IF(AQ124="2",BI124,0),2)</f>
        <v>0</v>
      </c>
      <c r="AH124" s="31">
        <f>ROUND(IF(AQ124="0",BJ124,0),2)</f>
        <v>0</v>
      </c>
      <c r="AI124" s="12" t="s">
        <v>53</v>
      </c>
      <c r="AJ124" s="31">
        <f>IF(AN124=0,L124,0)</f>
        <v>0</v>
      </c>
      <c r="AK124" s="31">
        <f>IF(AN124=12,L124,0)</f>
        <v>0</v>
      </c>
      <c r="AL124" s="31">
        <f>IF(AN124=21,L124,0)</f>
        <v>0</v>
      </c>
      <c r="AN124" s="31">
        <v>21</v>
      </c>
      <c r="AO124" s="31">
        <f>H124*1</f>
        <v>0</v>
      </c>
      <c r="AP124" s="31">
        <f>H124*(1-1)</f>
        <v>0</v>
      </c>
      <c r="AQ124" s="34" t="s">
        <v>95</v>
      </c>
      <c r="AV124" s="31">
        <f>ROUND(AW124+AX124,2)</f>
        <v>0</v>
      </c>
      <c r="AW124" s="31">
        <f>ROUND(G124*AO124,2)</f>
        <v>0</v>
      </c>
      <c r="AX124" s="31">
        <f>ROUND(G124*AP124,2)</f>
        <v>0</v>
      </c>
      <c r="AY124" s="34" t="s">
        <v>190</v>
      </c>
      <c r="AZ124" s="34" t="s">
        <v>179</v>
      </c>
      <c r="BA124" s="12" t="s">
        <v>63</v>
      </c>
      <c r="BC124" s="31">
        <f>AW124+AX124</f>
        <v>0</v>
      </c>
      <c r="BD124" s="31">
        <f>H124/(100-BE124)*100</f>
        <v>0</v>
      </c>
      <c r="BE124" s="31">
        <v>0</v>
      </c>
      <c r="BF124" s="31">
        <f>O124</f>
        <v>3.5533792566720011</v>
      </c>
      <c r="BH124" s="31">
        <f>G124*AO124</f>
        <v>0</v>
      </c>
      <c r="BI124" s="31">
        <f>G124*AP124</f>
        <v>0</v>
      </c>
      <c r="BJ124" s="31">
        <f>G124*H124</f>
        <v>0</v>
      </c>
      <c r="BK124" s="34" t="s">
        <v>203</v>
      </c>
      <c r="BL124" s="31">
        <v>713</v>
      </c>
      <c r="BW124" s="31">
        <f>I124</f>
        <v>21</v>
      </c>
      <c r="BX124" s="4" t="s">
        <v>1188</v>
      </c>
    </row>
    <row r="125" spans="1:76" x14ac:dyDescent="0.25">
      <c r="A125" s="35"/>
      <c r="D125" s="87" t="s">
        <v>1148</v>
      </c>
      <c r="E125" s="102" t="s">
        <v>53</v>
      </c>
      <c r="F125" s="284"/>
      <c r="G125" s="37">
        <v>564.02845344000013</v>
      </c>
      <c r="P125" s="38"/>
      <c r="BX125" t="s">
        <v>1148</v>
      </c>
    </row>
    <row r="126" spans="1:76" x14ac:dyDescent="0.25">
      <c r="A126" s="2">
        <f>A124+1</f>
        <v>38</v>
      </c>
      <c r="B126" s="3" t="s">
        <v>53</v>
      </c>
      <c r="C126" s="3" t="s">
        <v>191</v>
      </c>
      <c r="D126" s="378" t="s">
        <v>210</v>
      </c>
      <c r="E126" s="379"/>
      <c r="F126" s="285" t="s">
        <v>59</v>
      </c>
      <c r="G126" s="287">
        <v>849.74617200000012</v>
      </c>
      <c r="H126" s="31">
        <v>0</v>
      </c>
      <c r="I126" s="32">
        <v>21</v>
      </c>
      <c r="J126" s="31">
        <f>ROUND(G126*AO126,2)</f>
        <v>0</v>
      </c>
      <c r="K126" s="31">
        <f>ROUND(G126*AP126,2)</f>
        <v>0</v>
      </c>
      <c r="L126" s="31">
        <f>ROUND(G126*H126,2)</f>
        <v>0</v>
      </c>
      <c r="M126" s="31">
        <f>L126*(1+BW126/100)</f>
        <v>0</v>
      </c>
      <c r="N126" s="31">
        <v>2.0999999999999999E-3</v>
      </c>
      <c r="O126" s="31">
        <f>G126*N126</f>
        <v>1.7844669612000001</v>
      </c>
      <c r="P126" s="33" t="s">
        <v>60</v>
      </c>
      <c r="Z126" s="31">
        <f>ROUND(IF(AQ126="5",BJ126,0),2)</f>
        <v>0</v>
      </c>
      <c r="AB126" s="31">
        <f>ROUND(IF(AQ126="1",BH126,0),2)</f>
        <v>0</v>
      </c>
      <c r="AC126" s="31">
        <f>ROUND(IF(AQ126="1",BI126,0),2)</f>
        <v>0</v>
      </c>
      <c r="AD126" s="31">
        <f>ROUND(IF(AQ126="7",BH126,0),2)</f>
        <v>0</v>
      </c>
      <c r="AE126" s="31">
        <f>ROUND(IF(AQ126="7",BI126,0),2)</f>
        <v>0</v>
      </c>
      <c r="AF126" s="31">
        <f>ROUND(IF(AQ126="2",BH126,0),2)</f>
        <v>0</v>
      </c>
      <c r="AG126" s="31">
        <f>ROUND(IF(AQ126="2",BI126,0),2)</f>
        <v>0</v>
      </c>
      <c r="AH126" s="31">
        <f>ROUND(IF(AQ126="0",BJ126,0),2)</f>
        <v>0</v>
      </c>
      <c r="AI126" s="12" t="s">
        <v>53</v>
      </c>
      <c r="AJ126" s="31">
        <f>IF(AN126=0,L126,0)</f>
        <v>0</v>
      </c>
      <c r="AK126" s="31">
        <f>IF(AN126=12,L126,0)</f>
        <v>0</v>
      </c>
      <c r="AL126" s="31">
        <f>IF(AN126=21,L126,0)</f>
        <v>0</v>
      </c>
      <c r="AN126" s="31">
        <v>21</v>
      </c>
      <c r="AO126" s="31">
        <f>H126*0</f>
        <v>0</v>
      </c>
      <c r="AP126" s="31">
        <f>H126*(1-0)</f>
        <v>0</v>
      </c>
      <c r="AQ126" s="34" t="s">
        <v>95</v>
      </c>
      <c r="AV126" s="31">
        <f>ROUND(AW126+AX126,2)</f>
        <v>0</v>
      </c>
      <c r="AW126" s="31">
        <f>ROUND(G126*AO126,2)</f>
        <v>0</v>
      </c>
      <c r="AX126" s="31">
        <f>ROUND(G126*AP126,2)</f>
        <v>0</v>
      </c>
      <c r="AY126" s="34" t="s">
        <v>190</v>
      </c>
      <c r="AZ126" s="34" t="s">
        <v>179</v>
      </c>
      <c r="BA126" s="12" t="s">
        <v>63</v>
      </c>
      <c r="BC126" s="31">
        <f>AW126+AX126</f>
        <v>0</v>
      </c>
      <c r="BD126" s="31">
        <f>H126/(100-BE126)*100</f>
        <v>0</v>
      </c>
      <c r="BE126" s="31">
        <v>0</v>
      </c>
      <c r="BF126" s="31">
        <f>O126</f>
        <v>1.7844669612000001</v>
      </c>
      <c r="BH126" s="31">
        <f>G126*AO126</f>
        <v>0</v>
      </c>
      <c r="BI126" s="31">
        <f>G126*AP126</f>
        <v>0</v>
      </c>
      <c r="BJ126" s="31">
        <f>G126*H126</f>
        <v>0</v>
      </c>
      <c r="BK126" s="34" t="s">
        <v>64</v>
      </c>
      <c r="BL126" s="31">
        <v>713</v>
      </c>
      <c r="BW126" s="31">
        <f>I126</f>
        <v>21</v>
      </c>
      <c r="BX126" s="4" t="s">
        <v>210</v>
      </c>
    </row>
    <row r="127" spans="1:76" x14ac:dyDescent="0.25">
      <c r="A127" s="35"/>
      <c r="D127" s="201" t="s">
        <v>862</v>
      </c>
      <c r="E127" s="286" t="s">
        <v>53</v>
      </c>
      <c r="F127" s="288"/>
      <c r="G127" s="289">
        <v>848.20129200000008</v>
      </c>
      <c r="P127" s="38"/>
      <c r="BX127" t="s">
        <v>862</v>
      </c>
    </row>
    <row r="128" spans="1:76" x14ac:dyDescent="0.25">
      <c r="A128" s="35"/>
      <c r="D128" s="201" t="s">
        <v>1145</v>
      </c>
      <c r="E128" s="286" t="s">
        <v>53</v>
      </c>
      <c r="F128" s="288"/>
      <c r="G128" s="289">
        <v>1.54488</v>
      </c>
      <c r="P128" s="38"/>
      <c r="BX128" t="s">
        <v>1145</v>
      </c>
    </row>
    <row r="129" spans="1:76" x14ac:dyDescent="0.25">
      <c r="A129" s="2">
        <f>A126+1</f>
        <v>39</v>
      </c>
      <c r="B129" s="3" t="s">
        <v>53</v>
      </c>
      <c r="C129" s="3" t="s">
        <v>211</v>
      </c>
      <c r="D129" s="310" t="s">
        <v>815</v>
      </c>
      <c r="E129" s="307"/>
      <c r="F129" s="3" t="s">
        <v>134</v>
      </c>
      <c r="G129" s="31">
        <v>2</v>
      </c>
      <c r="H129" s="31">
        <v>0</v>
      </c>
      <c r="I129" s="32">
        <v>21</v>
      </c>
      <c r="J129" s="31">
        <f>ROUND(G129*AO129,2)</f>
        <v>0</v>
      </c>
      <c r="K129" s="31">
        <f>ROUND(G129*AP129,2)</f>
        <v>0</v>
      </c>
      <c r="L129" s="31">
        <f>ROUND(G129*H129,2)</f>
        <v>0</v>
      </c>
      <c r="M129" s="31">
        <f>L129*(1+BW129/100)</f>
        <v>0</v>
      </c>
      <c r="N129" s="31">
        <v>6.2E-4</v>
      </c>
      <c r="O129" s="31">
        <f>G129*N129</f>
        <v>1.24E-3</v>
      </c>
      <c r="P129" s="33" t="s">
        <v>60</v>
      </c>
      <c r="Z129" s="31">
        <f>ROUND(IF(AQ129="5",BJ129,0),2)</f>
        <v>0</v>
      </c>
      <c r="AB129" s="31">
        <f>ROUND(IF(AQ129="1",BH129,0),2)</f>
        <v>0</v>
      </c>
      <c r="AC129" s="31">
        <f>ROUND(IF(AQ129="1",BI129,0),2)</f>
        <v>0</v>
      </c>
      <c r="AD129" s="31">
        <f>ROUND(IF(AQ129="7",BH129,0),2)</f>
        <v>0</v>
      </c>
      <c r="AE129" s="31">
        <f>ROUND(IF(AQ129="7",BI129,0),2)</f>
        <v>0</v>
      </c>
      <c r="AF129" s="31">
        <f>ROUND(IF(AQ129="2",BH129,0),2)</f>
        <v>0</v>
      </c>
      <c r="AG129" s="31">
        <f>ROUND(IF(AQ129="2",BI129,0),2)</f>
        <v>0</v>
      </c>
      <c r="AH129" s="31">
        <f>ROUND(IF(AQ129="0",BJ129,0),2)</f>
        <v>0</v>
      </c>
      <c r="AI129" s="12" t="s">
        <v>53</v>
      </c>
      <c r="AJ129" s="31">
        <f>IF(AN129=0,L129,0)</f>
        <v>0</v>
      </c>
      <c r="AK129" s="31">
        <f>IF(AN129=12,L129,0)</f>
        <v>0</v>
      </c>
      <c r="AL129" s="31">
        <f>IF(AN129=21,L129,0)</f>
        <v>0</v>
      </c>
      <c r="AN129" s="31">
        <v>21</v>
      </c>
      <c r="AO129" s="31">
        <f>H129*1</f>
        <v>0</v>
      </c>
      <c r="AP129" s="31">
        <f>H129*(1-1)</f>
        <v>0</v>
      </c>
      <c r="AQ129" s="34" t="s">
        <v>95</v>
      </c>
      <c r="AV129" s="31">
        <f>ROUND(AW129+AX129,2)</f>
        <v>0</v>
      </c>
      <c r="AW129" s="31">
        <f>ROUND(G129*AO129,2)</f>
        <v>0</v>
      </c>
      <c r="AX129" s="31">
        <f>ROUND(G129*AP129,2)</f>
        <v>0</v>
      </c>
      <c r="AY129" s="34" t="s">
        <v>190</v>
      </c>
      <c r="AZ129" s="34" t="s">
        <v>179</v>
      </c>
      <c r="BA129" s="12" t="s">
        <v>63</v>
      </c>
      <c r="BC129" s="31">
        <f>AW129+AX129</f>
        <v>0</v>
      </c>
      <c r="BD129" s="31">
        <f>H129/(100-BE129)*100</f>
        <v>0</v>
      </c>
      <c r="BE129" s="31">
        <v>0</v>
      </c>
      <c r="BF129" s="31">
        <f>O129</f>
        <v>1.24E-3</v>
      </c>
      <c r="BH129" s="31">
        <f>G129*AO129</f>
        <v>0</v>
      </c>
      <c r="BI129" s="31">
        <f>G129*AP129</f>
        <v>0</v>
      </c>
      <c r="BJ129" s="31">
        <f>G129*H129</f>
        <v>0</v>
      </c>
      <c r="BK129" s="34" t="s">
        <v>203</v>
      </c>
      <c r="BL129" s="31">
        <v>713</v>
      </c>
      <c r="BW129" s="31">
        <f>I129</f>
        <v>21</v>
      </c>
      <c r="BX129" s="4" t="s">
        <v>815</v>
      </c>
    </row>
    <row r="130" spans="1:76" x14ac:dyDescent="0.25">
      <c r="A130" s="2">
        <f>A129+1</f>
        <v>40</v>
      </c>
      <c r="B130" s="3" t="s">
        <v>53</v>
      </c>
      <c r="C130" s="3" t="s">
        <v>212</v>
      </c>
      <c r="D130" s="310" t="s">
        <v>1189</v>
      </c>
      <c r="E130" s="307"/>
      <c r="F130" s="3" t="s">
        <v>59</v>
      </c>
      <c r="G130" s="31">
        <v>5.7426203999999998</v>
      </c>
      <c r="H130" s="31">
        <v>0</v>
      </c>
      <c r="I130" s="32">
        <v>21</v>
      </c>
      <c r="J130" s="31">
        <f>ROUND(G130*AO130,2)</f>
        <v>0</v>
      </c>
      <c r="K130" s="31">
        <f>ROUND(G130*AP130,2)</f>
        <v>0</v>
      </c>
      <c r="L130" s="31">
        <f>ROUND(G130*H130,2)</f>
        <v>0</v>
      </c>
      <c r="M130" s="31">
        <f>L130*(1+BW130/100)</f>
        <v>0</v>
      </c>
      <c r="N130" s="31">
        <v>8.3000000000000001E-3</v>
      </c>
      <c r="O130" s="31">
        <f>G130*N130</f>
        <v>4.7663749319999997E-2</v>
      </c>
      <c r="P130" s="33" t="s">
        <v>60</v>
      </c>
      <c r="Z130" s="31">
        <f>ROUND(IF(AQ130="5",BJ130,0),2)</f>
        <v>0</v>
      </c>
      <c r="AB130" s="31">
        <f>ROUND(IF(AQ130="1",BH130,0),2)</f>
        <v>0</v>
      </c>
      <c r="AC130" s="31">
        <f>ROUND(IF(AQ130="1",BI130,0),2)</f>
        <v>0</v>
      </c>
      <c r="AD130" s="31">
        <f>ROUND(IF(AQ130="7",BH130,0),2)</f>
        <v>0</v>
      </c>
      <c r="AE130" s="31">
        <f>ROUND(IF(AQ130="7",BI130,0),2)</f>
        <v>0</v>
      </c>
      <c r="AF130" s="31">
        <f>ROUND(IF(AQ130="2",BH130,0),2)</f>
        <v>0</v>
      </c>
      <c r="AG130" s="31">
        <f>ROUND(IF(AQ130="2",BI130,0),2)</f>
        <v>0</v>
      </c>
      <c r="AH130" s="31">
        <f>ROUND(IF(AQ130="0",BJ130,0),2)</f>
        <v>0</v>
      </c>
      <c r="AI130" s="12" t="s">
        <v>53</v>
      </c>
      <c r="AJ130" s="31">
        <f>IF(AN130=0,L130,0)</f>
        <v>0</v>
      </c>
      <c r="AK130" s="31">
        <f>IF(AN130=12,L130,0)</f>
        <v>0</v>
      </c>
      <c r="AL130" s="31">
        <f>IF(AN130=21,L130,0)</f>
        <v>0</v>
      </c>
      <c r="AN130" s="31">
        <v>21</v>
      </c>
      <c r="AO130" s="31">
        <f>H130*1</f>
        <v>0</v>
      </c>
      <c r="AP130" s="31">
        <f>H130*(1-1)</f>
        <v>0</v>
      </c>
      <c r="AQ130" s="34" t="s">
        <v>95</v>
      </c>
      <c r="AV130" s="31">
        <f>ROUND(AW130+AX130,2)</f>
        <v>0</v>
      </c>
      <c r="AW130" s="31">
        <f>ROUND(G130*AO130,2)</f>
        <v>0</v>
      </c>
      <c r="AX130" s="31">
        <f>ROUND(G130*AP130,2)</f>
        <v>0</v>
      </c>
      <c r="AY130" s="34" t="s">
        <v>190</v>
      </c>
      <c r="AZ130" s="34" t="s">
        <v>179</v>
      </c>
      <c r="BA130" s="12" t="s">
        <v>63</v>
      </c>
      <c r="BC130" s="31">
        <f>AW130+AX130</f>
        <v>0</v>
      </c>
      <c r="BD130" s="31">
        <f>H130/(100-BE130)*100</f>
        <v>0</v>
      </c>
      <c r="BE130" s="31">
        <v>0</v>
      </c>
      <c r="BF130" s="31">
        <f>O130</f>
        <v>4.7663749319999997E-2</v>
      </c>
      <c r="BH130" s="31">
        <f>G130*AO130</f>
        <v>0</v>
      </c>
      <c r="BI130" s="31">
        <f>G130*AP130</f>
        <v>0</v>
      </c>
      <c r="BJ130" s="31">
        <f>G130*H130</f>
        <v>0</v>
      </c>
      <c r="BK130" s="34" t="s">
        <v>203</v>
      </c>
      <c r="BL130" s="31">
        <v>713</v>
      </c>
      <c r="BW130" s="31">
        <f>I130</f>
        <v>21</v>
      </c>
      <c r="BX130" s="4" t="s">
        <v>1189</v>
      </c>
    </row>
    <row r="131" spans="1:76" x14ac:dyDescent="0.25">
      <c r="A131" s="35"/>
      <c r="D131" s="95" t="s">
        <v>213</v>
      </c>
      <c r="E131" s="36" t="s">
        <v>53</v>
      </c>
      <c r="G131" s="37">
        <v>0.85835040000000007</v>
      </c>
      <c r="P131" s="38"/>
      <c r="BX131" t="s">
        <v>213</v>
      </c>
    </row>
    <row r="132" spans="1:76" x14ac:dyDescent="0.25">
      <c r="A132" s="35"/>
      <c r="D132" s="87" t="s">
        <v>214</v>
      </c>
      <c r="E132" s="36" t="s">
        <v>53</v>
      </c>
      <c r="G132" s="37">
        <v>4.0867728000000003</v>
      </c>
      <c r="P132" s="38"/>
      <c r="BX132" t="s">
        <v>214</v>
      </c>
    </row>
    <row r="133" spans="1:76" x14ac:dyDescent="0.25">
      <c r="A133" s="35"/>
      <c r="D133" s="87" t="s">
        <v>215</v>
      </c>
      <c r="E133" s="36" t="s">
        <v>53</v>
      </c>
      <c r="G133" s="37">
        <v>0.79749720000000002</v>
      </c>
      <c r="P133" s="38"/>
      <c r="BX133" t="s">
        <v>215</v>
      </c>
    </row>
    <row r="134" spans="1:76" x14ac:dyDescent="0.25">
      <c r="A134" s="2">
        <f>A130+1</f>
        <v>41</v>
      </c>
      <c r="B134" s="3" t="s">
        <v>53</v>
      </c>
      <c r="C134" s="3" t="s">
        <v>216</v>
      </c>
      <c r="D134" s="310" t="s">
        <v>217</v>
      </c>
      <c r="E134" s="307"/>
      <c r="F134" s="3" t="s">
        <v>185</v>
      </c>
      <c r="G134" s="31">
        <v>2.59</v>
      </c>
      <c r="H134" s="31">
        <v>0</v>
      </c>
      <c r="I134" s="32">
        <v>21</v>
      </c>
      <c r="J134" s="31">
        <f>ROUND(G134*AO134,2)</f>
        <v>0</v>
      </c>
      <c r="K134" s="31">
        <f>ROUND(G134*AP134,2)</f>
        <v>0</v>
      </c>
      <c r="L134" s="31">
        <f>ROUND(G134*H134,2)</f>
        <v>0</v>
      </c>
      <c r="M134" s="31">
        <f>L134*(1+BW134/100)</f>
        <v>0</v>
      </c>
      <c r="N134" s="31">
        <v>0</v>
      </c>
      <c r="O134" s="31">
        <f>G134*N134</f>
        <v>0</v>
      </c>
      <c r="P134" s="33" t="s">
        <v>60</v>
      </c>
      <c r="Z134" s="31">
        <f>ROUND(IF(AQ134="5",BJ134,0),2)</f>
        <v>0</v>
      </c>
      <c r="AB134" s="31">
        <f>ROUND(IF(AQ134="1",BH134,0),2)</f>
        <v>0</v>
      </c>
      <c r="AC134" s="31">
        <f>ROUND(IF(AQ134="1",BI134,0),2)</f>
        <v>0</v>
      </c>
      <c r="AD134" s="31">
        <f>ROUND(IF(AQ134="7",BH134,0),2)</f>
        <v>0</v>
      </c>
      <c r="AE134" s="31">
        <f>ROUND(IF(AQ134="7",BI134,0),2)</f>
        <v>0</v>
      </c>
      <c r="AF134" s="31">
        <f>ROUND(IF(AQ134="2",BH134,0),2)</f>
        <v>0</v>
      </c>
      <c r="AG134" s="31">
        <f>ROUND(IF(AQ134="2",BI134,0),2)</f>
        <v>0</v>
      </c>
      <c r="AH134" s="31">
        <f>ROUND(IF(AQ134="0",BJ134,0),2)</f>
        <v>0</v>
      </c>
      <c r="AI134" s="12" t="s">
        <v>53</v>
      </c>
      <c r="AJ134" s="31">
        <f>IF(AN134=0,L134,0)</f>
        <v>0</v>
      </c>
      <c r="AK134" s="31">
        <f>IF(AN134=12,L134,0)</f>
        <v>0</v>
      </c>
      <c r="AL134" s="31">
        <f>IF(AN134=21,L134,0)</f>
        <v>0</v>
      </c>
      <c r="AN134" s="31">
        <v>21</v>
      </c>
      <c r="AO134" s="31">
        <f>H134*0</f>
        <v>0</v>
      </c>
      <c r="AP134" s="31">
        <f>H134*(1-0)</f>
        <v>0</v>
      </c>
      <c r="AQ134" s="34" t="s">
        <v>87</v>
      </c>
      <c r="AV134" s="31">
        <f>ROUND(AW134+AX134,2)</f>
        <v>0</v>
      </c>
      <c r="AW134" s="31">
        <f>ROUND(G134*AO134,2)</f>
        <v>0</v>
      </c>
      <c r="AX134" s="31">
        <f>ROUND(G134*AP134,2)</f>
        <v>0</v>
      </c>
      <c r="AY134" s="34" t="s">
        <v>190</v>
      </c>
      <c r="AZ134" s="34" t="s">
        <v>179</v>
      </c>
      <c r="BA134" s="12" t="s">
        <v>63</v>
      </c>
      <c r="BC134" s="31">
        <f>AW134+AX134</f>
        <v>0</v>
      </c>
      <c r="BD134" s="31">
        <f>H134/(100-BE134)*100</f>
        <v>0</v>
      </c>
      <c r="BE134" s="31">
        <v>0</v>
      </c>
      <c r="BF134" s="31">
        <f>O134</f>
        <v>0</v>
      </c>
      <c r="BH134" s="31">
        <f>G134*AO134</f>
        <v>0</v>
      </c>
      <c r="BI134" s="31">
        <f>G134*AP134</f>
        <v>0</v>
      </c>
      <c r="BJ134" s="31">
        <f>G134*H134</f>
        <v>0</v>
      </c>
      <c r="BK134" s="34" t="s">
        <v>64</v>
      </c>
      <c r="BL134" s="31">
        <v>713</v>
      </c>
      <c r="BW134" s="31">
        <f>I134</f>
        <v>21</v>
      </c>
      <c r="BX134" s="4" t="s">
        <v>217</v>
      </c>
    </row>
    <row r="135" spans="1:76" x14ac:dyDescent="0.25">
      <c r="A135" s="39" t="s">
        <v>53</v>
      </c>
      <c r="B135" s="40" t="s">
        <v>53</v>
      </c>
      <c r="C135" s="40" t="s">
        <v>218</v>
      </c>
      <c r="D135" s="375" t="s">
        <v>219</v>
      </c>
      <c r="E135" s="376"/>
      <c r="F135" s="41" t="s">
        <v>3</v>
      </c>
      <c r="G135" s="41" t="s">
        <v>3</v>
      </c>
      <c r="H135" s="41" t="s">
        <v>3</v>
      </c>
      <c r="I135" s="41" t="s">
        <v>3</v>
      </c>
      <c r="J135" s="1">
        <f>SUM(J136:J138)</f>
        <v>0</v>
      </c>
      <c r="K135" s="1">
        <f>SUM(K136:K138)</f>
        <v>0</v>
      </c>
      <c r="L135" s="1">
        <f>SUM(L136:L138)</f>
        <v>0</v>
      </c>
      <c r="M135" s="1">
        <f>SUM(M136:M136)</f>
        <v>0</v>
      </c>
      <c r="N135" s="12" t="s">
        <v>53</v>
      </c>
      <c r="O135" s="1">
        <f>SUM(O136:O136)</f>
        <v>0</v>
      </c>
      <c r="P135" s="42" t="s">
        <v>53</v>
      </c>
      <c r="AI135" s="12" t="s">
        <v>53</v>
      </c>
      <c r="AS135" s="1">
        <f>SUM(AJ136:AJ136)</f>
        <v>0</v>
      </c>
      <c r="AT135" s="1">
        <f>SUM(AK136:AK136)</f>
        <v>0</v>
      </c>
      <c r="AU135" s="1">
        <f>SUM(AL136:AL136)</f>
        <v>0</v>
      </c>
      <c r="BX135" t="s">
        <v>219</v>
      </c>
    </row>
    <row r="136" spans="1:76" x14ac:dyDescent="0.25">
      <c r="A136" s="2">
        <f>A134+1</f>
        <v>42</v>
      </c>
      <c r="B136" s="3" t="s">
        <v>53</v>
      </c>
      <c r="C136" s="3" t="s">
        <v>220</v>
      </c>
      <c r="D136" s="310" t="s">
        <v>221</v>
      </c>
      <c r="E136" s="307"/>
      <c r="F136" s="3" t="s">
        <v>134</v>
      </c>
      <c r="G136" s="31">
        <v>4</v>
      </c>
      <c r="H136" s="31">
        <v>0</v>
      </c>
      <c r="I136" s="32">
        <v>21</v>
      </c>
      <c r="J136" s="31">
        <f>ROUND(G136*AO136,2)</f>
        <v>0</v>
      </c>
      <c r="K136" s="31">
        <f>ROUND(G136*AP136,2)</f>
        <v>0</v>
      </c>
      <c r="L136" s="31">
        <f>ROUND(G136*H136,2)</f>
        <v>0</v>
      </c>
      <c r="M136" s="31">
        <f>L136*(1+BW136/100)</f>
        <v>0</v>
      </c>
      <c r="N136" s="31">
        <v>0</v>
      </c>
      <c r="O136" s="31">
        <f>G136*N136</f>
        <v>0</v>
      </c>
      <c r="P136" s="33" t="s">
        <v>60</v>
      </c>
      <c r="Z136" s="31">
        <f>ROUND(IF(AQ136="5",BJ136,0),2)</f>
        <v>0</v>
      </c>
      <c r="AB136" s="31">
        <f>ROUND(IF(AQ136="1",BH136,0),2)</f>
        <v>0</v>
      </c>
      <c r="AC136" s="31">
        <f>ROUND(IF(AQ136="1",BI136,0),2)</f>
        <v>0</v>
      </c>
      <c r="AD136" s="31">
        <f>ROUND(IF(AQ136="7",BH136,0),2)</f>
        <v>0</v>
      </c>
      <c r="AE136" s="31">
        <f>ROUND(IF(AQ136="7",BI136,0),2)</f>
        <v>0</v>
      </c>
      <c r="AF136" s="31">
        <f>ROUND(IF(AQ136="2",BH136,0),2)</f>
        <v>0</v>
      </c>
      <c r="AG136" s="31">
        <f>ROUND(IF(AQ136="2",BI136,0),2)</f>
        <v>0</v>
      </c>
      <c r="AH136" s="31">
        <f>ROUND(IF(AQ136="0",BJ136,0),2)</f>
        <v>0</v>
      </c>
      <c r="AI136" s="12" t="s">
        <v>53</v>
      </c>
      <c r="AJ136" s="31">
        <f>IF(AN136=0,L136,0)</f>
        <v>0</v>
      </c>
      <c r="AK136" s="31">
        <f>IF(AN136=12,L136,0)</f>
        <v>0</v>
      </c>
      <c r="AL136" s="31">
        <f>IF(AN136=21,L136,0)</f>
        <v>0</v>
      </c>
      <c r="AN136" s="31">
        <v>21</v>
      </c>
      <c r="AO136" s="31">
        <f>H136*0</f>
        <v>0</v>
      </c>
      <c r="AP136" s="31">
        <f>H136*(1-0)</f>
        <v>0</v>
      </c>
      <c r="AQ136" s="34" t="s">
        <v>95</v>
      </c>
      <c r="AV136" s="31">
        <f>ROUND(AW136+AX136,2)</f>
        <v>0</v>
      </c>
      <c r="AW136" s="31">
        <f>ROUND(G136*AO136,2)</f>
        <v>0</v>
      </c>
      <c r="AX136" s="31">
        <f>ROUND(G136*AP136,2)</f>
        <v>0</v>
      </c>
      <c r="AY136" s="34" t="s">
        <v>222</v>
      </c>
      <c r="AZ136" s="34" t="s">
        <v>223</v>
      </c>
      <c r="BA136" s="12" t="s">
        <v>63</v>
      </c>
      <c r="BC136" s="31">
        <f>AW136+AX136</f>
        <v>0</v>
      </c>
      <c r="BD136" s="31">
        <f>H136/(100-BE136)*100</f>
        <v>0</v>
      </c>
      <c r="BE136" s="31">
        <v>0</v>
      </c>
      <c r="BF136" s="31">
        <f>O136</f>
        <v>0</v>
      </c>
      <c r="BH136" s="31">
        <f>G136*AO136</f>
        <v>0</v>
      </c>
      <c r="BI136" s="31">
        <f>G136*AP136</f>
        <v>0</v>
      </c>
      <c r="BJ136" s="31">
        <f>G136*H136</f>
        <v>0</v>
      </c>
      <c r="BK136" s="34" t="s">
        <v>64</v>
      </c>
      <c r="BL136" s="31">
        <v>732</v>
      </c>
      <c r="BW136" s="31">
        <f>I136</f>
        <v>21</v>
      </c>
      <c r="BX136" s="4" t="s">
        <v>221</v>
      </c>
    </row>
    <row r="137" spans="1:76" s="106" customFormat="1" x14ac:dyDescent="0.25">
      <c r="A137" s="113">
        <f>A136+1</f>
        <v>43</v>
      </c>
      <c r="B137" s="114" t="s">
        <v>53</v>
      </c>
      <c r="C137" s="114" t="s">
        <v>668</v>
      </c>
      <c r="D137" s="388" t="s">
        <v>669</v>
      </c>
      <c r="E137" s="389"/>
      <c r="F137" s="114" t="s">
        <v>645</v>
      </c>
      <c r="G137" s="115">
        <v>323</v>
      </c>
      <c r="H137" s="115">
        <v>0</v>
      </c>
      <c r="I137" s="116">
        <v>21</v>
      </c>
      <c r="J137" s="115">
        <f>ROUND(G137*AO137,2)</f>
        <v>0</v>
      </c>
      <c r="K137" s="115">
        <f>ROUND(G137*AP137,2)</f>
        <v>0</v>
      </c>
      <c r="L137" s="115">
        <f>ROUND(G137*H137,2)</f>
        <v>0</v>
      </c>
      <c r="M137" s="115">
        <f>L137*(1+BW137/100)</f>
        <v>0</v>
      </c>
      <c r="N137" s="115">
        <v>1.15E-3</v>
      </c>
      <c r="O137" s="115">
        <f>G137*N137</f>
        <v>0.37145</v>
      </c>
      <c r="P137" s="117" t="s">
        <v>60</v>
      </c>
      <c r="Z137" s="115">
        <f>ROUND(IF(AQ137="5",BJ137,0),2)</f>
        <v>0</v>
      </c>
      <c r="AB137" s="115">
        <f>ROUND(IF(AQ137="1",BH137,0),2)</f>
        <v>0</v>
      </c>
      <c r="AC137" s="115">
        <f>ROUND(IF(AQ137="1",BI137,0),2)</f>
        <v>0</v>
      </c>
      <c r="AD137" s="115">
        <f>ROUND(IF(AQ137="7",BH137,0),2)</f>
        <v>0</v>
      </c>
      <c r="AE137" s="115">
        <f>ROUND(IF(AQ137="7",BI137,0),2)</f>
        <v>0</v>
      </c>
      <c r="AF137" s="115">
        <f>ROUND(IF(AQ137="2",BH137,0),2)</f>
        <v>0</v>
      </c>
      <c r="AG137" s="115">
        <f>ROUND(IF(AQ137="2",BI137,0),2)</f>
        <v>0</v>
      </c>
      <c r="AH137" s="115">
        <f>ROUND(IF(AQ137="0",BJ137,0),2)</f>
        <v>0</v>
      </c>
      <c r="AI137" s="118" t="s">
        <v>53</v>
      </c>
      <c r="AJ137" s="115">
        <f>IF(AN137=0,L137,0)</f>
        <v>0</v>
      </c>
      <c r="AK137" s="115">
        <f>IF(AN137=12,L137,0)</f>
        <v>0</v>
      </c>
      <c r="AL137" s="115">
        <f>IF(AN137=21,L137,0)</f>
        <v>0</v>
      </c>
      <c r="AN137" s="115">
        <v>21</v>
      </c>
      <c r="AO137" s="115">
        <f>H137*0.750563219</f>
        <v>0</v>
      </c>
      <c r="AP137" s="115">
        <f>H137*(1-0.750563219)</f>
        <v>0</v>
      </c>
      <c r="AQ137" s="119" t="s">
        <v>95</v>
      </c>
      <c r="AV137" s="115">
        <f>ROUND(AW137+AX137,2)</f>
        <v>0</v>
      </c>
      <c r="AW137" s="115">
        <f>ROUND(G137*AO137,2)</f>
        <v>0</v>
      </c>
      <c r="AX137" s="115">
        <f>ROUND(G137*AP137,2)</f>
        <v>0</v>
      </c>
      <c r="AY137" s="119" t="s">
        <v>222</v>
      </c>
      <c r="AZ137" s="119" t="s">
        <v>223</v>
      </c>
      <c r="BA137" s="118" t="s">
        <v>63</v>
      </c>
      <c r="BC137" s="115">
        <f>AW137+AX137</f>
        <v>0</v>
      </c>
      <c r="BD137" s="115">
        <f>H137/(100-BE137)*100</f>
        <v>0</v>
      </c>
      <c r="BE137" s="115">
        <v>0</v>
      </c>
      <c r="BF137" s="115">
        <f>O137</f>
        <v>0.37145</v>
      </c>
      <c r="BH137" s="115">
        <f>G137*AO137</f>
        <v>0</v>
      </c>
      <c r="BI137" s="115">
        <f>G137*AP137</f>
        <v>0</v>
      </c>
      <c r="BJ137" s="115">
        <f>G137*H137</f>
        <v>0</v>
      </c>
      <c r="BK137" s="119" t="s">
        <v>64</v>
      </c>
      <c r="BL137" s="115">
        <v>732</v>
      </c>
      <c r="BW137" s="115">
        <f>I137</f>
        <v>21</v>
      </c>
      <c r="BX137" s="120" t="s">
        <v>669</v>
      </c>
    </row>
    <row r="138" spans="1:76" s="106" customFormat="1" x14ac:dyDescent="0.25">
      <c r="A138" s="113">
        <f>A137+1</f>
        <v>44</v>
      </c>
      <c r="B138" s="114" t="s">
        <v>53</v>
      </c>
      <c r="C138" s="114" t="s">
        <v>670</v>
      </c>
      <c r="D138" s="388" t="s">
        <v>671</v>
      </c>
      <c r="E138" s="389"/>
      <c r="F138" s="114" t="s">
        <v>185</v>
      </c>
      <c r="G138" s="115">
        <v>2.4</v>
      </c>
      <c r="H138" s="115">
        <v>0</v>
      </c>
      <c r="I138" s="116">
        <v>21</v>
      </c>
      <c r="J138" s="115">
        <f>ROUND(G138*AO138,2)</f>
        <v>0</v>
      </c>
      <c r="K138" s="115">
        <f>ROUND(G138*AP138,2)</f>
        <v>0</v>
      </c>
      <c r="L138" s="115">
        <f>ROUND(G138*H138,2)</f>
        <v>0</v>
      </c>
      <c r="M138" s="115">
        <f>L138*(1+BW138/100)</f>
        <v>0</v>
      </c>
      <c r="N138" s="115">
        <v>0</v>
      </c>
      <c r="O138" s="115">
        <f>G138*N138</f>
        <v>0</v>
      </c>
      <c r="P138" s="117" t="s">
        <v>60</v>
      </c>
      <c r="Z138" s="115">
        <f>ROUND(IF(AQ138="5",BJ138,0),2)</f>
        <v>0</v>
      </c>
      <c r="AB138" s="115">
        <f>ROUND(IF(AQ138="1",BH138,0),2)</f>
        <v>0</v>
      </c>
      <c r="AC138" s="115">
        <f>ROUND(IF(AQ138="1",BI138,0),2)</f>
        <v>0</v>
      </c>
      <c r="AD138" s="115">
        <f>ROUND(IF(AQ138="7",BH138,0),2)</f>
        <v>0</v>
      </c>
      <c r="AE138" s="115">
        <f>ROUND(IF(AQ138="7",BI138,0),2)</f>
        <v>0</v>
      </c>
      <c r="AF138" s="115">
        <f>ROUND(IF(AQ138="2",BH138,0),2)</f>
        <v>0</v>
      </c>
      <c r="AG138" s="115">
        <f>ROUND(IF(AQ138="2",BI138,0),2)</f>
        <v>0</v>
      </c>
      <c r="AH138" s="115">
        <f>ROUND(IF(AQ138="0",BJ138,0),2)</f>
        <v>0</v>
      </c>
      <c r="AI138" s="118" t="s">
        <v>53</v>
      </c>
      <c r="AJ138" s="115">
        <f>IF(AN138=0,L138,0)</f>
        <v>0</v>
      </c>
      <c r="AK138" s="115">
        <f>IF(AN138=12,L138,0)</f>
        <v>0</v>
      </c>
      <c r="AL138" s="115">
        <f>IF(AN138=21,L138,0)</f>
        <v>0</v>
      </c>
      <c r="AN138" s="115">
        <v>21</v>
      </c>
      <c r="AO138" s="115">
        <f>H138*0</f>
        <v>0</v>
      </c>
      <c r="AP138" s="115">
        <f>H138*(1-0)</f>
        <v>0</v>
      </c>
      <c r="AQ138" s="119" t="s">
        <v>87</v>
      </c>
      <c r="AV138" s="115">
        <f>ROUND(AW138+AX138,2)</f>
        <v>0</v>
      </c>
      <c r="AW138" s="115">
        <f>ROUND(G138*AO138,2)</f>
        <v>0</v>
      </c>
      <c r="AX138" s="115">
        <f>ROUND(G138*AP138,2)</f>
        <v>0</v>
      </c>
      <c r="AY138" s="119" t="s">
        <v>222</v>
      </c>
      <c r="AZ138" s="119" t="s">
        <v>223</v>
      </c>
      <c r="BA138" s="118" t="s">
        <v>63</v>
      </c>
      <c r="BC138" s="115">
        <f>AW138+AX138</f>
        <v>0</v>
      </c>
      <c r="BD138" s="115">
        <f>H138/(100-BE138)*100</f>
        <v>0</v>
      </c>
      <c r="BE138" s="115">
        <v>0</v>
      </c>
      <c r="BF138" s="115">
        <f>O138</f>
        <v>0</v>
      </c>
      <c r="BH138" s="115">
        <f>G138*AO138</f>
        <v>0</v>
      </c>
      <c r="BI138" s="115">
        <f>G138*AP138</f>
        <v>0</v>
      </c>
      <c r="BJ138" s="115">
        <f>G138*H138</f>
        <v>0</v>
      </c>
      <c r="BK138" s="119" t="s">
        <v>64</v>
      </c>
      <c r="BL138" s="115">
        <v>732</v>
      </c>
      <c r="BW138" s="115">
        <f>I138</f>
        <v>21</v>
      </c>
      <c r="BX138" s="120" t="s">
        <v>671</v>
      </c>
    </row>
    <row r="139" spans="1:76" x14ac:dyDescent="0.25">
      <c r="A139" s="39" t="s">
        <v>53</v>
      </c>
      <c r="B139" s="40" t="s">
        <v>53</v>
      </c>
      <c r="C139" s="40" t="s">
        <v>224</v>
      </c>
      <c r="D139" s="375" t="s">
        <v>225</v>
      </c>
      <c r="E139" s="376"/>
      <c r="F139" s="41" t="s">
        <v>3</v>
      </c>
      <c r="G139" s="41" t="s">
        <v>3</v>
      </c>
      <c r="H139" s="41" t="s">
        <v>3</v>
      </c>
      <c r="I139" s="41" t="s">
        <v>3</v>
      </c>
      <c r="J139" s="1">
        <f>SUM(J140:J142)</f>
        <v>0</v>
      </c>
      <c r="K139" s="1">
        <f>SUM(K140:K142)</f>
        <v>0</v>
      </c>
      <c r="L139" s="1">
        <f>SUM(L140:L142)</f>
        <v>0</v>
      </c>
      <c r="M139" s="1">
        <f>SUM(M140:M142)</f>
        <v>0</v>
      </c>
      <c r="N139" s="12" t="s">
        <v>53</v>
      </c>
      <c r="O139" s="1">
        <f>SUM(O140:O142)</f>
        <v>0.18393999999999999</v>
      </c>
      <c r="P139" s="42" t="s">
        <v>53</v>
      </c>
      <c r="AI139" s="12" t="s">
        <v>53</v>
      </c>
      <c r="AS139" s="1">
        <f>SUM(AJ140:AJ142)</f>
        <v>0</v>
      </c>
      <c r="AT139" s="1">
        <f>SUM(AK140:AK142)</f>
        <v>0</v>
      </c>
      <c r="AU139" s="1">
        <f>SUM(AL140:AL142)</f>
        <v>0</v>
      </c>
      <c r="BX139" t="s">
        <v>225</v>
      </c>
    </row>
    <row r="140" spans="1:76" x14ac:dyDescent="0.25">
      <c r="A140" s="2">
        <f>A138+1</f>
        <v>45</v>
      </c>
      <c r="B140" s="3" t="s">
        <v>53</v>
      </c>
      <c r="C140" s="3" t="s">
        <v>226</v>
      </c>
      <c r="D140" s="310" t="s">
        <v>861</v>
      </c>
      <c r="E140" s="307"/>
      <c r="F140" s="3" t="s">
        <v>134</v>
      </c>
      <c r="G140" s="31">
        <v>2</v>
      </c>
      <c r="H140" s="31">
        <v>0</v>
      </c>
      <c r="I140" s="32">
        <v>21</v>
      </c>
      <c r="J140" s="31">
        <f>ROUND(G140*AO140,2)</f>
        <v>0</v>
      </c>
      <c r="K140" s="31">
        <f>ROUND(G140*AP140,2)</f>
        <v>0</v>
      </c>
      <c r="L140" s="31">
        <f>ROUND(G140*H140,2)</f>
        <v>0</v>
      </c>
      <c r="M140" s="31">
        <f>L140*(1+BW140/100)</f>
        <v>0</v>
      </c>
      <c r="N140" s="31">
        <v>9.1969999999999996E-2</v>
      </c>
      <c r="O140" s="31">
        <f>G140*N140</f>
        <v>0.18393999999999999</v>
      </c>
      <c r="P140" s="33" t="s">
        <v>60</v>
      </c>
      <c r="Z140" s="31">
        <f>ROUND(IF(AQ140="5",BJ140,0),2)</f>
        <v>0</v>
      </c>
      <c r="AB140" s="31">
        <f>ROUND(IF(AQ140="1",BH140,0),2)</f>
        <v>0</v>
      </c>
      <c r="AC140" s="31">
        <f>ROUND(IF(AQ140="1",BI140,0),2)</f>
        <v>0</v>
      </c>
      <c r="AD140" s="31">
        <f>ROUND(IF(AQ140="7",BH140,0),2)</f>
        <v>0</v>
      </c>
      <c r="AE140" s="31">
        <f>ROUND(IF(AQ140="7",BI140,0),2)</f>
        <v>0</v>
      </c>
      <c r="AF140" s="31">
        <f>ROUND(IF(AQ140="2",BH140,0),2)</f>
        <v>0</v>
      </c>
      <c r="AG140" s="31">
        <f>ROUND(IF(AQ140="2",BI140,0),2)</f>
        <v>0</v>
      </c>
      <c r="AH140" s="31">
        <f>ROUND(IF(AQ140="0",BJ140,0),2)</f>
        <v>0</v>
      </c>
      <c r="AI140" s="12" t="s">
        <v>53</v>
      </c>
      <c r="AJ140" s="31">
        <f>IF(AN140=0,L140,0)</f>
        <v>0</v>
      </c>
      <c r="AK140" s="31">
        <f>IF(AN140=12,L140,0)</f>
        <v>0</v>
      </c>
      <c r="AL140" s="31">
        <f>IF(AN140=21,L140,0)</f>
        <v>0</v>
      </c>
      <c r="AN140" s="31">
        <v>21</v>
      </c>
      <c r="AO140" s="31">
        <f>H140*0.868089868</f>
        <v>0</v>
      </c>
      <c r="AP140" s="31">
        <f>H140*(1-0.868089868)</f>
        <v>0</v>
      </c>
      <c r="AQ140" s="34" t="s">
        <v>95</v>
      </c>
      <c r="AV140" s="31">
        <f>ROUND(AW140+AX140,2)</f>
        <v>0</v>
      </c>
      <c r="AW140" s="31">
        <f>ROUND(G140*AO140,2)</f>
        <v>0</v>
      </c>
      <c r="AX140" s="31">
        <f>ROUND(G140*AP140,2)</f>
        <v>0</v>
      </c>
      <c r="AY140" s="34" t="s">
        <v>227</v>
      </c>
      <c r="AZ140" s="34" t="s">
        <v>223</v>
      </c>
      <c r="BA140" s="12" t="s">
        <v>63</v>
      </c>
      <c r="BC140" s="31">
        <f>AW140+AX140</f>
        <v>0</v>
      </c>
      <c r="BD140" s="31">
        <f>H140/(100-BE140)*100</f>
        <v>0</v>
      </c>
      <c r="BE140" s="31">
        <v>0</v>
      </c>
      <c r="BF140" s="31">
        <f>O140</f>
        <v>0.18393999999999999</v>
      </c>
      <c r="BH140" s="31">
        <f>G140*AO140</f>
        <v>0</v>
      </c>
      <c r="BI140" s="31">
        <f>G140*AP140</f>
        <v>0</v>
      </c>
      <c r="BJ140" s="31">
        <f>G140*H140</f>
        <v>0</v>
      </c>
      <c r="BK140" s="34" t="s">
        <v>64</v>
      </c>
      <c r="BL140" s="31">
        <v>733</v>
      </c>
      <c r="BW140" s="31">
        <f>I140</f>
        <v>21</v>
      </c>
      <c r="BX140" s="4" t="s">
        <v>861</v>
      </c>
    </row>
    <row r="141" spans="1:76" x14ac:dyDescent="0.25">
      <c r="A141" s="35"/>
      <c r="D141" s="87" t="s">
        <v>851</v>
      </c>
      <c r="E141" s="36" t="s">
        <v>53</v>
      </c>
      <c r="G141" s="37">
        <v>2</v>
      </c>
      <c r="P141" s="38"/>
      <c r="BX141" t="s">
        <v>851</v>
      </c>
    </row>
    <row r="142" spans="1:76" x14ac:dyDescent="0.25">
      <c r="A142" s="2">
        <f>A140+1</f>
        <v>46</v>
      </c>
      <c r="B142" s="3" t="s">
        <v>53</v>
      </c>
      <c r="C142" s="3" t="s">
        <v>228</v>
      </c>
      <c r="D142" s="310" t="s">
        <v>229</v>
      </c>
      <c r="E142" s="307"/>
      <c r="F142" s="3" t="s">
        <v>185</v>
      </c>
      <c r="G142" s="31">
        <v>4.4000000000000004</v>
      </c>
      <c r="H142" s="31">
        <v>0</v>
      </c>
      <c r="I142" s="32">
        <v>21</v>
      </c>
      <c r="J142" s="31">
        <f>ROUND(G142*AO142,2)</f>
        <v>0</v>
      </c>
      <c r="K142" s="31">
        <f>ROUND(G142*AP142,2)</f>
        <v>0</v>
      </c>
      <c r="L142" s="31">
        <f>ROUND(G142*H142,2)</f>
        <v>0</v>
      </c>
      <c r="M142" s="31">
        <f>L142*(1+BW142/100)</f>
        <v>0</v>
      </c>
      <c r="N142" s="31">
        <v>0</v>
      </c>
      <c r="O142" s="31">
        <f>G142*N142</f>
        <v>0</v>
      </c>
      <c r="P142" s="33" t="s">
        <v>60</v>
      </c>
      <c r="Z142" s="31">
        <f>ROUND(IF(AQ142="5",BJ142,0),2)</f>
        <v>0</v>
      </c>
      <c r="AB142" s="31">
        <f>ROUND(IF(AQ142="1",BH142,0),2)</f>
        <v>0</v>
      </c>
      <c r="AC142" s="31">
        <f>ROUND(IF(AQ142="1",BI142,0),2)</f>
        <v>0</v>
      </c>
      <c r="AD142" s="31">
        <f>ROUND(IF(AQ142="7",BH142,0),2)</f>
        <v>0</v>
      </c>
      <c r="AE142" s="31">
        <f>ROUND(IF(AQ142="7",BI142,0),2)</f>
        <v>0</v>
      </c>
      <c r="AF142" s="31">
        <f>ROUND(IF(AQ142="2",BH142,0),2)</f>
        <v>0</v>
      </c>
      <c r="AG142" s="31">
        <f>ROUND(IF(AQ142="2",BI142,0),2)</f>
        <v>0</v>
      </c>
      <c r="AH142" s="31">
        <f>ROUND(IF(AQ142="0",BJ142,0),2)</f>
        <v>0</v>
      </c>
      <c r="AI142" s="12" t="s">
        <v>53</v>
      </c>
      <c r="AJ142" s="31">
        <f>IF(AN142=0,L142,0)</f>
        <v>0</v>
      </c>
      <c r="AK142" s="31">
        <f>IF(AN142=12,L142,0)</f>
        <v>0</v>
      </c>
      <c r="AL142" s="31">
        <f>IF(AN142=21,L142,0)</f>
        <v>0</v>
      </c>
      <c r="AN142" s="31">
        <v>21</v>
      </c>
      <c r="AO142" s="31">
        <f>H142*0</f>
        <v>0</v>
      </c>
      <c r="AP142" s="31">
        <f>H142*(1-0)</f>
        <v>0</v>
      </c>
      <c r="AQ142" s="34" t="s">
        <v>87</v>
      </c>
      <c r="AV142" s="31">
        <f>ROUND(AW142+AX142,2)</f>
        <v>0</v>
      </c>
      <c r="AW142" s="31">
        <f>ROUND(G142*AO142,2)</f>
        <v>0</v>
      </c>
      <c r="AX142" s="31">
        <f>ROUND(G142*AP142,2)</f>
        <v>0</v>
      </c>
      <c r="AY142" s="34" t="s">
        <v>227</v>
      </c>
      <c r="AZ142" s="34" t="s">
        <v>223</v>
      </c>
      <c r="BA142" s="12" t="s">
        <v>63</v>
      </c>
      <c r="BC142" s="31">
        <f>AW142+AX142</f>
        <v>0</v>
      </c>
      <c r="BD142" s="31">
        <f>H142/(100-BE142)*100</f>
        <v>0</v>
      </c>
      <c r="BE142" s="31">
        <v>0</v>
      </c>
      <c r="BF142" s="31">
        <f>O142</f>
        <v>0</v>
      </c>
      <c r="BH142" s="31">
        <f>G142*AO142</f>
        <v>0</v>
      </c>
      <c r="BI142" s="31">
        <f>G142*AP142</f>
        <v>0</v>
      </c>
      <c r="BJ142" s="31">
        <f>G142*H142</f>
        <v>0</v>
      </c>
      <c r="BK142" s="34" t="s">
        <v>64</v>
      </c>
      <c r="BL142" s="31">
        <v>733</v>
      </c>
      <c r="BW142" s="31">
        <f>I142</f>
        <v>21</v>
      </c>
      <c r="BX142" s="4" t="s">
        <v>229</v>
      </c>
    </row>
    <row r="143" spans="1:76" x14ac:dyDescent="0.25">
      <c r="A143" s="39" t="s">
        <v>53</v>
      </c>
      <c r="B143" s="40" t="s">
        <v>53</v>
      </c>
      <c r="C143" s="40" t="s">
        <v>230</v>
      </c>
      <c r="D143" s="375" t="s">
        <v>231</v>
      </c>
      <c r="E143" s="376"/>
      <c r="F143" s="41" t="s">
        <v>3</v>
      </c>
      <c r="G143" s="41" t="s">
        <v>3</v>
      </c>
      <c r="H143" s="41" t="s">
        <v>3</v>
      </c>
      <c r="I143" s="41" t="s">
        <v>3</v>
      </c>
      <c r="J143" s="1">
        <f>SUM(J144:J150)</f>
        <v>0</v>
      </c>
      <c r="K143" s="1">
        <f>SUM(K144:K150)</f>
        <v>0</v>
      </c>
      <c r="L143" s="1">
        <f>SUM(L144:L150)</f>
        <v>0</v>
      </c>
      <c r="M143" s="1">
        <f>SUM(M144:M150)</f>
        <v>0</v>
      </c>
      <c r="N143" s="12" t="s">
        <v>53</v>
      </c>
      <c r="O143" s="1">
        <f>SUM(O144:O150)</f>
        <v>0.14026</v>
      </c>
      <c r="P143" s="42" t="s">
        <v>53</v>
      </c>
      <c r="AI143" s="12" t="s">
        <v>53</v>
      </c>
      <c r="AS143" s="1">
        <f>SUM(AJ144:AJ150)</f>
        <v>0</v>
      </c>
      <c r="AT143" s="1">
        <f>SUM(AK144:AK150)</f>
        <v>0</v>
      </c>
      <c r="AU143" s="1">
        <f>SUM(AL144:AL150)</f>
        <v>0</v>
      </c>
      <c r="BX143" t="s">
        <v>231</v>
      </c>
    </row>
    <row r="144" spans="1:76" x14ac:dyDescent="0.25">
      <c r="A144" s="2">
        <f>A142+1</f>
        <v>47</v>
      </c>
      <c r="B144" s="3" t="s">
        <v>53</v>
      </c>
      <c r="C144" s="3" t="s">
        <v>232</v>
      </c>
      <c r="D144" s="310" t="s">
        <v>1181</v>
      </c>
      <c r="E144" s="307"/>
      <c r="F144" s="3" t="s">
        <v>134</v>
      </c>
      <c r="G144" s="31">
        <v>1</v>
      </c>
      <c r="H144" s="31">
        <v>0</v>
      </c>
      <c r="I144" s="32">
        <v>21</v>
      </c>
      <c r="J144" s="31">
        <f>ROUND(G144*AO144,2)</f>
        <v>0</v>
      </c>
      <c r="K144" s="31">
        <f>ROUND(G144*AP144,2)</f>
        <v>0</v>
      </c>
      <c r="L144" s="31">
        <f>ROUND(G144*H144,2)</f>
        <v>0</v>
      </c>
      <c r="M144" s="31">
        <f>L144*(1+BW144/100)</f>
        <v>0</v>
      </c>
      <c r="N144" s="31">
        <v>1.24E-3</v>
      </c>
      <c r="O144" s="31">
        <f>G144*N144</f>
        <v>1.24E-3</v>
      </c>
      <c r="P144" s="33" t="s">
        <v>60</v>
      </c>
      <c r="Z144" s="31">
        <f>ROUND(IF(AQ144="5",BJ144,0),2)</f>
        <v>0</v>
      </c>
      <c r="AB144" s="31">
        <f>ROUND(IF(AQ144="1",BH144,0),2)</f>
        <v>0</v>
      </c>
      <c r="AC144" s="31">
        <f>ROUND(IF(AQ144="1",BI144,0),2)</f>
        <v>0</v>
      </c>
      <c r="AD144" s="31">
        <f>ROUND(IF(AQ144="7",BH144,0),2)</f>
        <v>0</v>
      </c>
      <c r="AE144" s="31">
        <f>ROUND(IF(AQ144="7",BI144,0),2)</f>
        <v>0</v>
      </c>
      <c r="AF144" s="31">
        <f>ROUND(IF(AQ144="2",BH144,0),2)</f>
        <v>0</v>
      </c>
      <c r="AG144" s="31">
        <f>ROUND(IF(AQ144="2",BI144,0),2)</f>
        <v>0</v>
      </c>
      <c r="AH144" s="31">
        <f>ROUND(IF(AQ144="0",BJ144,0),2)</f>
        <v>0</v>
      </c>
      <c r="AI144" s="12" t="s">
        <v>53</v>
      </c>
      <c r="AJ144" s="31">
        <f>IF(AN144=0,L144,0)</f>
        <v>0</v>
      </c>
      <c r="AK144" s="31">
        <f>IF(AN144=12,L144,0)</f>
        <v>0</v>
      </c>
      <c r="AL144" s="31">
        <f>IF(AN144=21,L144,0)</f>
        <v>0</v>
      </c>
      <c r="AN144" s="31">
        <v>21</v>
      </c>
      <c r="AO144" s="31">
        <f>H144*0.820638554</f>
        <v>0</v>
      </c>
      <c r="AP144" s="31">
        <f>H144*(1-0.820638554)</f>
        <v>0</v>
      </c>
      <c r="AQ144" s="34" t="s">
        <v>95</v>
      </c>
      <c r="AV144" s="31">
        <f>ROUND(AW144+AX144,2)</f>
        <v>0</v>
      </c>
      <c r="AW144" s="31">
        <f>ROUND(G144*AO144,2)</f>
        <v>0</v>
      </c>
      <c r="AX144" s="31">
        <f>ROUND(G144*AP144,2)</f>
        <v>0</v>
      </c>
      <c r="AY144" s="34" t="s">
        <v>233</v>
      </c>
      <c r="AZ144" s="34" t="s">
        <v>223</v>
      </c>
      <c r="BA144" s="12" t="s">
        <v>63</v>
      </c>
      <c r="BC144" s="31">
        <f>AW144+AX144</f>
        <v>0</v>
      </c>
      <c r="BD144" s="31">
        <f>H144/(100-BE144)*100</f>
        <v>0</v>
      </c>
      <c r="BE144" s="31">
        <v>0</v>
      </c>
      <c r="BF144" s="31">
        <f>O144</f>
        <v>1.24E-3</v>
      </c>
      <c r="BH144" s="31">
        <f>G144*AO144</f>
        <v>0</v>
      </c>
      <c r="BI144" s="31">
        <f>G144*AP144</f>
        <v>0</v>
      </c>
      <c r="BJ144" s="31">
        <f>G144*H144</f>
        <v>0</v>
      </c>
      <c r="BK144" s="34" t="s">
        <v>64</v>
      </c>
      <c r="BL144" s="31">
        <v>734</v>
      </c>
      <c r="BW144" s="31">
        <f>I144</f>
        <v>21</v>
      </c>
      <c r="BX144" s="4" t="s">
        <v>1181</v>
      </c>
    </row>
    <row r="145" spans="1:76" x14ac:dyDescent="0.25">
      <c r="A145" s="35"/>
      <c r="D145" s="87" t="s">
        <v>234</v>
      </c>
      <c r="E145" s="36" t="s">
        <v>53</v>
      </c>
      <c r="G145" s="37">
        <v>1</v>
      </c>
      <c r="P145" s="38"/>
      <c r="BX145" t="s">
        <v>234</v>
      </c>
    </row>
    <row r="146" spans="1:76" x14ac:dyDescent="0.25">
      <c r="A146" s="2">
        <f>A144+1</f>
        <v>48</v>
      </c>
      <c r="B146" s="3" t="s">
        <v>53</v>
      </c>
      <c r="C146" s="3" t="s">
        <v>235</v>
      </c>
      <c r="D146" s="310" t="s">
        <v>1182</v>
      </c>
      <c r="E146" s="307"/>
      <c r="F146" s="3" t="s">
        <v>134</v>
      </c>
      <c r="G146" s="31">
        <v>5</v>
      </c>
      <c r="H146" s="31">
        <v>0</v>
      </c>
      <c r="I146" s="32">
        <v>21</v>
      </c>
      <c r="J146" s="31">
        <f>ROUND(G146*AO146,2)</f>
        <v>0</v>
      </c>
      <c r="K146" s="31">
        <f>ROUND(G146*AP146,2)</f>
        <v>0</v>
      </c>
      <c r="L146" s="31">
        <f>ROUND(G146*H146,2)</f>
        <v>0</v>
      </c>
      <c r="M146" s="31">
        <f>L146*(1+BW146/100)</f>
        <v>0</v>
      </c>
      <c r="N146" s="31">
        <v>2.0000000000000001E-4</v>
      </c>
      <c r="O146" s="31">
        <f>G146*N146</f>
        <v>1E-3</v>
      </c>
      <c r="P146" s="33" t="s">
        <v>60</v>
      </c>
      <c r="Z146" s="31">
        <f>ROUND(IF(AQ146="5",BJ146,0),2)</f>
        <v>0</v>
      </c>
      <c r="AB146" s="31">
        <f>ROUND(IF(AQ146="1",BH146,0),2)</f>
        <v>0</v>
      </c>
      <c r="AC146" s="31">
        <f>ROUND(IF(AQ146="1",BI146,0),2)</f>
        <v>0</v>
      </c>
      <c r="AD146" s="31">
        <f>ROUND(IF(AQ146="7",BH146,0),2)</f>
        <v>0</v>
      </c>
      <c r="AE146" s="31">
        <f>ROUND(IF(AQ146="7",BI146,0),2)</f>
        <v>0</v>
      </c>
      <c r="AF146" s="31">
        <f>ROUND(IF(AQ146="2",BH146,0),2)</f>
        <v>0</v>
      </c>
      <c r="AG146" s="31">
        <f>ROUND(IF(AQ146="2",BI146,0),2)</f>
        <v>0</v>
      </c>
      <c r="AH146" s="31">
        <f>ROUND(IF(AQ146="0",BJ146,0),2)</f>
        <v>0</v>
      </c>
      <c r="AI146" s="12" t="s">
        <v>53</v>
      </c>
      <c r="AJ146" s="31">
        <f>IF(AN146=0,L146,0)</f>
        <v>0</v>
      </c>
      <c r="AK146" s="31">
        <f>IF(AN146=12,L146,0)</f>
        <v>0</v>
      </c>
      <c r="AL146" s="31">
        <f>IF(AN146=21,L146,0)</f>
        <v>0</v>
      </c>
      <c r="AN146" s="31">
        <v>21</v>
      </c>
      <c r="AO146" s="31">
        <f>H146*0.595677209</f>
        <v>0</v>
      </c>
      <c r="AP146" s="31">
        <f>H146*(1-0.595677209)</f>
        <v>0</v>
      </c>
      <c r="AQ146" s="34" t="s">
        <v>95</v>
      </c>
      <c r="AV146" s="31">
        <f>ROUND(AW146+AX146,2)</f>
        <v>0</v>
      </c>
      <c r="AW146" s="31">
        <f>ROUND(G146*AO146,2)</f>
        <v>0</v>
      </c>
      <c r="AX146" s="31">
        <f>ROUND(G146*AP146,2)</f>
        <v>0</v>
      </c>
      <c r="AY146" s="34" t="s">
        <v>233</v>
      </c>
      <c r="AZ146" s="34" t="s">
        <v>223</v>
      </c>
      <c r="BA146" s="12" t="s">
        <v>63</v>
      </c>
      <c r="BC146" s="31">
        <f>AW146+AX146</f>
        <v>0</v>
      </c>
      <c r="BD146" s="31">
        <f>H146/(100-BE146)*100</f>
        <v>0</v>
      </c>
      <c r="BE146" s="31">
        <v>0</v>
      </c>
      <c r="BF146" s="31">
        <f>O146</f>
        <v>1E-3</v>
      </c>
      <c r="BH146" s="31">
        <f>G146*AO146</f>
        <v>0</v>
      </c>
      <c r="BI146" s="31">
        <f>G146*AP146</f>
        <v>0</v>
      </c>
      <c r="BJ146" s="31">
        <f>G146*H146</f>
        <v>0</v>
      </c>
      <c r="BK146" s="34" t="s">
        <v>64</v>
      </c>
      <c r="BL146" s="31">
        <v>734</v>
      </c>
      <c r="BW146" s="31">
        <f>I146</f>
        <v>21</v>
      </c>
      <c r="BX146" s="4" t="s">
        <v>1182</v>
      </c>
    </row>
    <row r="147" spans="1:76" x14ac:dyDescent="0.25">
      <c r="A147" s="35"/>
      <c r="D147" s="87" t="s">
        <v>850</v>
      </c>
      <c r="E147" s="36" t="s">
        <v>53</v>
      </c>
      <c r="G147" s="37">
        <v>5</v>
      </c>
      <c r="P147" s="38"/>
      <c r="BX147" t="s">
        <v>850</v>
      </c>
    </row>
    <row r="148" spans="1:76" s="106" customFormat="1" x14ac:dyDescent="0.25">
      <c r="A148" s="2">
        <f>A146+1</f>
        <v>49</v>
      </c>
      <c r="B148" s="114" t="s">
        <v>53</v>
      </c>
      <c r="C148" s="114" t="s">
        <v>672</v>
      </c>
      <c r="D148" s="388" t="s">
        <v>673</v>
      </c>
      <c r="E148" s="389"/>
      <c r="F148" s="114" t="s">
        <v>134</v>
      </c>
      <c r="G148" s="115">
        <v>1</v>
      </c>
      <c r="H148" s="115">
        <v>0</v>
      </c>
      <c r="I148" s="116">
        <v>21</v>
      </c>
      <c r="J148" s="115">
        <f>ROUND(G148*AO148,2)</f>
        <v>0</v>
      </c>
      <c r="K148" s="115">
        <f>ROUND(G148*AP148,2)</f>
        <v>0</v>
      </c>
      <c r="L148" s="115">
        <f>ROUND(G148*H148,2)</f>
        <v>0</v>
      </c>
      <c r="M148" s="115">
        <f>L148*(1+BW148/100)</f>
        <v>0</v>
      </c>
      <c r="N148" s="115">
        <v>0.13802</v>
      </c>
      <c r="O148" s="115">
        <f>G148*N148</f>
        <v>0.13802</v>
      </c>
      <c r="P148" s="117" t="s">
        <v>60</v>
      </c>
      <c r="Z148" s="115">
        <f>ROUND(IF(AQ148="5",BJ148,0),2)</f>
        <v>0</v>
      </c>
      <c r="AB148" s="115">
        <f>ROUND(IF(AQ148="1",BH148,0),2)</f>
        <v>0</v>
      </c>
      <c r="AC148" s="115">
        <f>ROUND(IF(AQ148="1",BI148,0),2)</f>
        <v>0</v>
      </c>
      <c r="AD148" s="115">
        <f>ROUND(IF(AQ148="7",BH148,0),2)</f>
        <v>0</v>
      </c>
      <c r="AE148" s="115">
        <f>ROUND(IF(AQ148="7",BI148,0),2)</f>
        <v>0</v>
      </c>
      <c r="AF148" s="115">
        <f>ROUND(IF(AQ148="2",BH148,0),2)</f>
        <v>0</v>
      </c>
      <c r="AG148" s="115">
        <f>ROUND(IF(AQ148="2",BI148,0),2)</f>
        <v>0</v>
      </c>
      <c r="AH148" s="115">
        <f>ROUND(IF(AQ148="0",BJ148,0),2)</f>
        <v>0</v>
      </c>
      <c r="AI148" s="118" t="s">
        <v>53</v>
      </c>
      <c r="AJ148" s="115">
        <f>IF(AN148=0,L148,0)</f>
        <v>0</v>
      </c>
      <c r="AK148" s="115">
        <f>IF(AN148=12,L148,0)</f>
        <v>0</v>
      </c>
      <c r="AL148" s="115">
        <f>IF(AN148=21,L148,0)</f>
        <v>0</v>
      </c>
      <c r="AN148" s="115">
        <v>21</v>
      </c>
      <c r="AO148" s="115">
        <f>H148*0.002025751</f>
        <v>0</v>
      </c>
      <c r="AP148" s="115">
        <f>H148*(1-0.002025751)</f>
        <v>0</v>
      </c>
      <c r="AQ148" s="119" t="s">
        <v>95</v>
      </c>
      <c r="AV148" s="115">
        <f>ROUND(AW148+AX148,2)</f>
        <v>0</v>
      </c>
      <c r="AW148" s="115">
        <f>ROUND(G148*AO148,2)</f>
        <v>0</v>
      </c>
      <c r="AX148" s="115">
        <f>ROUND(G148*AP148,2)</f>
        <v>0</v>
      </c>
      <c r="AY148" s="119" t="s">
        <v>233</v>
      </c>
      <c r="AZ148" s="119" t="s">
        <v>223</v>
      </c>
      <c r="BA148" s="118" t="s">
        <v>63</v>
      </c>
      <c r="BC148" s="115">
        <f>AW148+AX148</f>
        <v>0</v>
      </c>
      <c r="BD148" s="115">
        <f>H148/(100-BE148)*100</f>
        <v>0</v>
      </c>
      <c r="BE148" s="115">
        <v>0</v>
      </c>
      <c r="BF148" s="115">
        <f>O148</f>
        <v>0.13802</v>
      </c>
      <c r="BH148" s="115">
        <f>G148*AO148</f>
        <v>0</v>
      </c>
      <c r="BI148" s="115">
        <f>G148*AP148</f>
        <v>0</v>
      </c>
      <c r="BJ148" s="115">
        <f>G148*H148</f>
        <v>0</v>
      </c>
      <c r="BK148" s="119" t="s">
        <v>64</v>
      </c>
      <c r="BL148" s="115">
        <v>734</v>
      </c>
      <c r="BW148" s="115">
        <f>I148</f>
        <v>21</v>
      </c>
      <c r="BX148" s="120" t="s">
        <v>673</v>
      </c>
    </row>
    <row r="149" spans="1:76" s="106" customFormat="1" x14ac:dyDescent="0.25">
      <c r="A149" s="91"/>
      <c r="D149" s="291" t="s">
        <v>674</v>
      </c>
      <c r="E149" s="291" t="s">
        <v>53</v>
      </c>
      <c r="G149" s="292">
        <v>1</v>
      </c>
      <c r="P149" s="93"/>
      <c r="BX149" s="106" t="s">
        <v>674</v>
      </c>
    </row>
    <row r="150" spans="1:76" x14ac:dyDescent="0.25">
      <c r="A150" s="2">
        <f>A148+1</f>
        <v>50</v>
      </c>
      <c r="B150" s="3" t="s">
        <v>53</v>
      </c>
      <c r="C150" s="3" t="s">
        <v>236</v>
      </c>
      <c r="D150" s="310" t="s">
        <v>237</v>
      </c>
      <c r="E150" s="307"/>
      <c r="F150" s="3" t="s">
        <v>185</v>
      </c>
      <c r="G150" s="31">
        <v>0.48</v>
      </c>
      <c r="H150" s="31">
        <v>0</v>
      </c>
      <c r="I150" s="32">
        <v>21</v>
      </c>
      <c r="J150" s="31">
        <f>ROUND(G150*AO150,2)</f>
        <v>0</v>
      </c>
      <c r="K150" s="31">
        <f>ROUND(G150*AP150,2)</f>
        <v>0</v>
      </c>
      <c r="L150" s="31">
        <f>ROUND(G150*H150,2)</f>
        <v>0</v>
      </c>
      <c r="M150" s="31">
        <f>L150*(1+BW150/100)</f>
        <v>0</v>
      </c>
      <c r="N150" s="31">
        <v>0</v>
      </c>
      <c r="O150" s="31">
        <f>G150*N150</f>
        <v>0</v>
      </c>
      <c r="P150" s="33" t="s">
        <v>60</v>
      </c>
      <c r="Z150" s="31">
        <f>ROUND(IF(AQ150="5",BJ150,0),2)</f>
        <v>0</v>
      </c>
      <c r="AB150" s="31">
        <f>ROUND(IF(AQ150="1",BH150,0),2)</f>
        <v>0</v>
      </c>
      <c r="AC150" s="31">
        <f>ROUND(IF(AQ150="1",BI150,0),2)</f>
        <v>0</v>
      </c>
      <c r="AD150" s="31">
        <f>ROUND(IF(AQ150="7",BH150,0),2)</f>
        <v>0</v>
      </c>
      <c r="AE150" s="31">
        <f>ROUND(IF(AQ150="7",BI150,0),2)</f>
        <v>0</v>
      </c>
      <c r="AF150" s="31">
        <f>ROUND(IF(AQ150="2",BH150,0),2)</f>
        <v>0</v>
      </c>
      <c r="AG150" s="31">
        <f>ROUND(IF(AQ150="2",BI150,0),2)</f>
        <v>0</v>
      </c>
      <c r="AH150" s="31">
        <f>ROUND(IF(AQ150="0",BJ150,0),2)</f>
        <v>0</v>
      </c>
      <c r="AI150" s="12" t="s">
        <v>53</v>
      </c>
      <c r="AJ150" s="31">
        <f>IF(AN150=0,L150,0)</f>
        <v>0</v>
      </c>
      <c r="AK150" s="31">
        <f>IF(AN150=12,L150,0)</f>
        <v>0</v>
      </c>
      <c r="AL150" s="31">
        <f>IF(AN150=21,L150,0)</f>
        <v>0</v>
      </c>
      <c r="AN150" s="31">
        <v>21</v>
      </c>
      <c r="AO150" s="31">
        <f>H150*0</f>
        <v>0</v>
      </c>
      <c r="AP150" s="31">
        <f>H150*(1-0)</f>
        <v>0</v>
      </c>
      <c r="AQ150" s="34" t="s">
        <v>87</v>
      </c>
      <c r="AV150" s="31">
        <f>ROUND(AW150+AX150,2)</f>
        <v>0</v>
      </c>
      <c r="AW150" s="31">
        <f>ROUND(G150*AO150,2)</f>
        <v>0</v>
      </c>
      <c r="AX150" s="31">
        <f>ROUND(G150*AP150,2)</f>
        <v>0</v>
      </c>
      <c r="AY150" s="34" t="s">
        <v>233</v>
      </c>
      <c r="AZ150" s="34" t="s">
        <v>223</v>
      </c>
      <c r="BA150" s="12" t="s">
        <v>63</v>
      </c>
      <c r="BC150" s="31">
        <f>AW150+AX150</f>
        <v>0</v>
      </c>
      <c r="BD150" s="31">
        <f>H150/(100-BE150)*100</f>
        <v>0</v>
      </c>
      <c r="BE150" s="31">
        <v>0</v>
      </c>
      <c r="BF150" s="31">
        <f>O150</f>
        <v>0</v>
      </c>
      <c r="BH150" s="31">
        <f>G150*AO150</f>
        <v>0</v>
      </c>
      <c r="BI150" s="31">
        <f>G150*AP150</f>
        <v>0</v>
      </c>
      <c r="BJ150" s="31">
        <f>G150*H150</f>
        <v>0</v>
      </c>
      <c r="BK150" s="34" t="s">
        <v>64</v>
      </c>
      <c r="BL150" s="31">
        <v>734</v>
      </c>
      <c r="BW150" s="31">
        <f>I150</f>
        <v>21</v>
      </c>
      <c r="BX150" s="4" t="s">
        <v>237</v>
      </c>
    </row>
    <row r="151" spans="1:76" x14ac:dyDescent="0.25">
      <c r="A151" s="39" t="s">
        <v>53</v>
      </c>
      <c r="B151" s="40" t="s">
        <v>53</v>
      </c>
      <c r="C151" s="40" t="s">
        <v>238</v>
      </c>
      <c r="D151" s="375" t="s">
        <v>239</v>
      </c>
      <c r="E151" s="376"/>
      <c r="F151" s="41" t="s">
        <v>3</v>
      </c>
      <c r="G151" s="41" t="s">
        <v>3</v>
      </c>
      <c r="H151" s="41" t="s">
        <v>3</v>
      </c>
      <c r="I151" s="41" t="s">
        <v>3</v>
      </c>
      <c r="J151" s="1">
        <f>SUM(J152:J154)</f>
        <v>0</v>
      </c>
      <c r="K151" s="1">
        <f>SUM(K152:K154)</f>
        <v>0</v>
      </c>
      <c r="L151" s="1">
        <f>SUM(L152:L154)</f>
        <v>0</v>
      </c>
      <c r="M151" s="1">
        <f>SUM(M152:M154)</f>
        <v>0</v>
      </c>
      <c r="N151" s="12" t="s">
        <v>53</v>
      </c>
      <c r="O151" s="1">
        <f>SUM(O152:O154)</f>
        <v>7.392E-2</v>
      </c>
      <c r="P151" s="42" t="s">
        <v>53</v>
      </c>
      <c r="AI151" s="12" t="s">
        <v>53</v>
      </c>
      <c r="AS151" s="1">
        <f>SUM(AJ152:AJ154)</f>
        <v>0</v>
      </c>
      <c r="AT151" s="1">
        <f>SUM(AK152:AK154)</f>
        <v>0</v>
      </c>
      <c r="AU151" s="1">
        <f>SUM(AL152:AL154)</f>
        <v>0</v>
      </c>
      <c r="BX151" t="s">
        <v>239</v>
      </c>
    </row>
    <row r="152" spans="1:76" ht="25.5" x14ac:dyDescent="0.25">
      <c r="A152" s="2">
        <f>A150+1</f>
        <v>51</v>
      </c>
      <c r="B152" s="3" t="s">
        <v>53</v>
      </c>
      <c r="C152" s="3" t="s">
        <v>240</v>
      </c>
      <c r="D152" s="310" t="s">
        <v>241</v>
      </c>
      <c r="E152" s="307"/>
      <c r="F152" s="3" t="s">
        <v>71</v>
      </c>
      <c r="G152" s="31">
        <v>11.2</v>
      </c>
      <c r="H152" s="31">
        <v>0</v>
      </c>
      <c r="I152" s="32">
        <v>21</v>
      </c>
      <c r="J152" s="31">
        <f>ROUND(G152*AO152,2)</f>
        <v>0</v>
      </c>
      <c r="K152" s="31">
        <f>ROUND(G152*AP152,2)</f>
        <v>0</v>
      </c>
      <c r="L152" s="31">
        <f>ROUND(G152*H152,2)</f>
        <v>0</v>
      </c>
      <c r="M152" s="31">
        <f>L152*(1+BW152/100)</f>
        <v>0</v>
      </c>
      <c r="N152" s="31">
        <v>6.6E-3</v>
      </c>
      <c r="O152" s="31">
        <f>G152*N152</f>
        <v>7.392E-2</v>
      </c>
      <c r="P152" s="33" t="s">
        <v>60</v>
      </c>
      <c r="Z152" s="31">
        <f>ROUND(IF(AQ152="5",BJ152,0),2)</f>
        <v>0</v>
      </c>
      <c r="AB152" s="31">
        <f>ROUND(IF(AQ152="1",BH152,0),2)</f>
        <v>0</v>
      </c>
      <c r="AC152" s="31">
        <f>ROUND(IF(AQ152="1",BI152,0),2)</f>
        <v>0</v>
      </c>
      <c r="AD152" s="31">
        <f>ROUND(IF(AQ152="7",BH152,0),2)</f>
        <v>0</v>
      </c>
      <c r="AE152" s="31">
        <f>ROUND(IF(AQ152="7",BI152,0),2)</f>
        <v>0</v>
      </c>
      <c r="AF152" s="31">
        <f>ROUND(IF(AQ152="2",BH152,0),2)</f>
        <v>0</v>
      </c>
      <c r="AG152" s="31">
        <f>ROUND(IF(AQ152="2",BI152,0),2)</f>
        <v>0</v>
      </c>
      <c r="AH152" s="31">
        <f>ROUND(IF(AQ152="0",BJ152,0),2)</f>
        <v>0</v>
      </c>
      <c r="AI152" s="12" t="s">
        <v>53</v>
      </c>
      <c r="AJ152" s="31">
        <f>IF(AN152=0,L152,0)</f>
        <v>0</v>
      </c>
      <c r="AK152" s="31">
        <f>IF(AN152=12,L152,0)</f>
        <v>0</v>
      </c>
      <c r="AL152" s="31">
        <f>IF(AN152=21,L152,0)</f>
        <v>0</v>
      </c>
      <c r="AN152" s="31">
        <v>21</v>
      </c>
      <c r="AO152" s="31">
        <f>H152*0.422077156</f>
        <v>0</v>
      </c>
      <c r="AP152" s="31">
        <f>H152*(1-0.422077156)</f>
        <v>0</v>
      </c>
      <c r="AQ152" s="34" t="s">
        <v>95</v>
      </c>
      <c r="AV152" s="31">
        <f>ROUND(AW152+AX152,2)</f>
        <v>0</v>
      </c>
      <c r="AW152" s="31">
        <f>ROUND(G152*AO152,2)</f>
        <v>0</v>
      </c>
      <c r="AX152" s="31">
        <f>ROUND(G152*AP152,2)</f>
        <v>0</v>
      </c>
      <c r="AY152" s="34" t="s">
        <v>242</v>
      </c>
      <c r="AZ152" s="34" t="s">
        <v>243</v>
      </c>
      <c r="BA152" s="12" t="s">
        <v>63</v>
      </c>
      <c r="BC152" s="31">
        <f>AW152+AX152</f>
        <v>0</v>
      </c>
      <c r="BD152" s="31">
        <f>H152/(100-BE152)*100</f>
        <v>0</v>
      </c>
      <c r="BE152" s="31">
        <v>0</v>
      </c>
      <c r="BF152" s="31">
        <f>O152</f>
        <v>7.392E-2</v>
      </c>
      <c r="BH152" s="31">
        <f>G152*AO152</f>
        <v>0</v>
      </c>
      <c r="BI152" s="31">
        <f>G152*AP152</f>
        <v>0</v>
      </c>
      <c r="BJ152" s="31">
        <f>G152*H152</f>
        <v>0</v>
      </c>
      <c r="BK152" s="34" t="s">
        <v>64</v>
      </c>
      <c r="BL152" s="31">
        <v>762</v>
      </c>
      <c r="BW152" s="31">
        <f>I152</f>
        <v>21</v>
      </c>
      <c r="BX152" s="4" t="s">
        <v>241</v>
      </c>
    </row>
    <row r="153" spans="1:76" x14ac:dyDescent="0.25">
      <c r="A153" s="35"/>
      <c r="D153" s="87" t="s">
        <v>244</v>
      </c>
      <c r="E153" s="36" t="s">
        <v>53</v>
      </c>
      <c r="G153" s="37">
        <v>11.2</v>
      </c>
      <c r="P153" s="38"/>
      <c r="BX153" t="s">
        <v>244</v>
      </c>
    </row>
    <row r="154" spans="1:76" x14ac:dyDescent="0.25">
      <c r="A154" s="2">
        <f>A152+1</f>
        <v>52</v>
      </c>
      <c r="B154" s="3" t="s">
        <v>53</v>
      </c>
      <c r="C154" s="3" t="s">
        <v>245</v>
      </c>
      <c r="D154" s="310" t="s">
        <v>246</v>
      </c>
      <c r="E154" s="307"/>
      <c r="F154" s="3" t="s">
        <v>185</v>
      </c>
      <c r="G154" s="31">
        <v>8.7899999999999991</v>
      </c>
      <c r="H154" s="31">
        <v>0</v>
      </c>
      <c r="I154" s="32">
        <v>21</v>
      </c>
      <c r="J154" s="31">
        <f>ROUND(G154*AO154,2)</f>
        <v>0</v>
      </c>
      <c r="K154" s="31">
        <f>ROUND(G154*AP154,2)</f>
        <v>0</v>
      </c>
      <c r="L154" s="31">
        <f>ROUND(G154*H154,2)</f>
        <v>0</v>
      </c>
      <c r="M154" s="31">
        <f>L154*(1+BW154/100)</f>
        <v>0</v>
      </c>
      <c r="N154" s="31">
        <v>0</v>
      </c>
      <c r="O154" s="31">
        <f>G154*N154</f>
        <v>0</v>
      </c>
      <c r="P154" s="33" t="s">
        <v>60</v>
      </c>
      <c r="Z154" s="31">
        <f>ROUND(IF(AQ154="5",BJ154,0),2)</f>
        <v>0</v>
      </c>
      <c r="AB154" s="31">
        <f>ROUND(IF(AQ154="1",BH154,0),2)</f>
        <v>0</v>
      </c>
      <c r="AC154" s="31">
        <f>ROUND(IF(AQ154="1",BI154,0),2)</f>
        <v>0</v>
      </c>
      <c r="AD154" s="31">
        <f>ROUND(IF(AQ154="7",BH154,0),2)</f>
        <v>0</v>
      </c>
      <c r="AE154" s="31">
        <f>ROUND(IF(AQ154="7",BI154,0),2)</f>
        <v>0</v>
      </c>
      <c r="AF154" s="31">
        <f>ROUND(IF(AQ154="2",BH154,0),2)</f>
        <v>0</v>
      </c>
      <c r="AG154" s="31">
        <f>ROUND(IF(AQ154="2",BI154,0),2)</f>
        <v>0</v>
      </c>
      <c r="AH154" s="31">
        <f>ROUND(IF(AQ154="0",BJ154,0),2)</f>
        <v>0</v>
      </c>
      <c r="AI154" s="12" t="s">
        <v>53</v>
      </c>
      <c r="AJ154" s="31">
        <f>IF(AN154=0,L154,0)</f>
        <v>0</v>
      </c>
      <c r="AK154" s="31">
        <f>IF(AN154=12,L154,0)</f>
        <v>0</v>
      </c>
      <c r="AL154" s="31">
        <f>IF(AN154=21,L154,0)</f>
        <v>0</v>
      </c>
      <c r="AN154" s="31">
        <v>21</v>
      </c>
      <c r="AO154" s="31">
        <f>H154*0</f>
        <v>0</v>
      </c>
      <c r="AP154" s="31">
        <f>H154*(1-0)</f>
        <v>0</v>
      </c>
      <c r="AQ154" s="34" t="s">
        <v>87</v>
      </c>
      <c r="AV154" s="31">
        <f>ROUND(AW154+AX154,2)</f>
        <v>0</v>
      </c>
      <c r="AW154" s="31">
        <f>ROUND(G154*AO154,2)</f>
        <v>0</v>
      </c>
      <c r="AX154" s="31">
        <f>ROUND(G154*AP154,2)</f>
        <v>0</v>
      </c>
      <c r="AY154" s="34" t="s">
        <v>242</v>
      </c>
      <c r="AZ154" s="34" t="s">
        <v>243</v>
      </c>
      <c r="BA154" s="12" t="s">
        <v>63</v>
      </c>
      <c r="BC154" s="31">
        <f>AW154+AX154</f>
        <v>0</v>
      </c>
      <c r="BD154" s="31">
        <f>H154/(100-BE154)*100</f>
        <v>0</v>
      </c>
      <c r="BE154" s="31">
        <v>0</v>
      </c>
      <c r="BF154" s="31">
        <f>O154</f>
        <v>0</v>
      </c>
      <c r="BH154" s="31">
        <f>G154*AO154</f>
        <v>0</v>
      </c>
      <c r="BI154" s="31">
        <f>G154*AP154</f>
        <v>0</v>
      </c>
      <c r="BJ154" s="31">
        <f>G154*H154</f>
        <v>0</v>
      </c>
      <c r="BK154" s="34" t="s">
        <v>64</v>
      </c>
      <c r="BL154" s="31">
        <v>762</v>
      </c>
      <c r="BW154" s="31">
        <f>I154</f>
        <v>21</v>
      </c>
      <c r="BX154" s="4" t="s">
        <v>246</v>
      </c>
    </row>
    <row r="155" spans="1:76" x14ac:dyDescent="0.25">
      <c r="A155" s="39" t="s">
        <v>53</v>
      </c>
      <c r="B155" s="40" t="s">
        <v>53</v>
      </c>
      <c r="C155" s="40" t="s">
        <v>247</v>
      </c>
      <c r="D155" s="375" t="s">
        <v>248</v>
      </c>
      <c r="E155" s="376"/>
      <c r="F155" s="41" t="s">
        <v>3</v>
      </c>
      <c r="G155" s="41" t="s">
        <v>3</v>
      </c>
      <c r="H155" s="41" t="s">
        <v>3</v>
      </c>
      <c r="I155" s="41" t="s">
        <v>3</v>
      </c>
      <c r="J155" s="1">
        <f>SUM(J156:J178)</f>
        <v>0</v>
      </c>
      <c r="K155" s="1">
        <f>SUM(K156:K178)</f>
        <v>0</v>
      </c>
      <c r="L155" s="1">
        <f>SUM(L156:L178)</f>
        <v>0</v>
      </c>
      <c r="M155" s="1">
        <f>SUM(M156:M178)</f>
        <v>0</v>
      </c>
      <c r="N155" s="12" t="s">
        <v>53</v>
      </c>
      <c r="O155" s="1">
        <f>SUM(O156:O178)</f>
        <v>27.11172564</v>
      </c>
      <c r="P155" s="42" t="s">
        <v>53</v>
      </c>
      <c r="AI155" s="12" t="s">
        <v>53</v>
      </c>
      <c r="AS155" s="1">
        <f>SUM(AJ156:AJ178)</f>
        <v>0</v>
      </c>
      <c r="AT155" s="1">
        <f>SUM(AK156:AK178)</f>
        <v>0</v>
      </c>
      <c r="AU155" s="1">
        <f>SUM(AL156:AL178)</f>
        <v>0</v>
      </c>
      <c r="BX155" t="s">
        <v>248</v>
      </c>
    </row>
    <row r="156" spans="1:76" x14ac:dyDescent="0.25">
      <c r="A156" s="2">
        <f>A154+1</f>
        <v>53</v>
      </c>
      <c r="B156" s="3" t="s">
        <v>53</v>
      </c>
      <c r="C156" s="3" t="s">
        <v>249</v>
      </c>
      <c r="D156" s="310" t="s">
        <v>1092</v>
      </c>
      <c r="E156" s="307"/>
      <c r="F156" s="3" t="s">
        <v>250</v>
      </c>
      <c r="G156" s="31">
        <v>11333.5</v>
      </c>
      <c r="H156" s="31">
        <v>0</v>
      </c>
      <c r="I156" s="32">
        <v>21</v>
      </c>
      <c r="J156" s="31">
        <f>ROUND(G156*AO156,2)</f>
        <v>0</v>
      </c>
      <c r="K156" s="31">
        <f>ROUND(G156*AP156,2)</f>
        <v>0</v>
      </c>
      <c r="L156" s="31">
        <f>ROUND(G156*H156,2)</f>
        <v>0</v>
      </c>
      <c r="M156" s="31">
        <f>L156*(1+BW156/100)</f>
        <v>0</v>
      </c>
      <c r="N156" s="31">
        <v>1.0499999999999999E-3</v>
      </c>
      <c r="O156" s="31">
        <f>G156*N156</f>
        <v>11.900174999999999</v>
      </c>
      <c r="P156" s="33" t="s">
        <v>60</v>
      </c>
      <c r="Z156" s="31">
        <f>ROUND(IF(AQ156="5",BJ156,0),2)</f>
        <v>0</v>
      </c>
      <c r="AB156" s="31">
        <f>ROUND(IF(AQ156="1",BH156,0),2)</f>
        <v>0</v>
      </c>
      <c r="AC156" s="31">
        <f>ROUND(IF(AQ156="1",BI156,0),2)</f>
        <v>0</v>
      </c>
      <c r="AD156" s="31">
        <f>ROUND(IF(AQ156="7",BH156,0),2)</f>
        <v>0</v>
      </c>
      <c r="AE156" s="31">
        <f>ROUND(IF(AQ156="7",BI156,0),2)</f>
        <v>0</v>
      </c>
      <c r="AF156" s="31">
        <f>ROUND(IF(AQ156="2",BH156,0),2)</f>
        <v>0</v>
      </c>
      <c r="AG156" s="31">
        <f>ROUND(IF(AQ156="2",BI156,0),2)</f>
        <v>0</v>
      </c>
      <c r="AH156" s="31">
        <f>ROUND(IF(AQ156="0",BJ156,0),2)</f>
        <v>0</v>
      </c>
      <c r="AI156" s="12" t="s">
        <v>53</v>
      </c>
      <c r="AJ156" s="31">
        <f>IF(AN156=0,L156,0)</f>
        <v>0</v>
      </c>
      <c r="AK156" s="31">
        <f>IF(AN156=12,L156,0)</f>
        <v>0</v>
      </c>
      <c r="AL156" s="31">
        <f>IF(AN156=21,L156,0)</f>
        <v>0</v>
      </c>
      <c r="AN156" s="31">
        <v>21</v>
      </c>
      <c r="AO156" s="31">
        <f>H156*0.140227995</f>
        <v>0</v>
      </c>
      <c r="AP156" s="31">
        <f>H156*(1-0.140227995)</f>
        <v>0</v>
      </c>
      <c r="AQ156" s="34" t="s">
        <v>95</v>
      </c>
      <c r="AV156" s="31">
        <f>ROUND(AW156+AX156,2)</f>
        <v>0</v>
      </c>
      <c r="AW156" s="31">
        <f>ROUND(G156*AO156,2)</f>
        <v>0</v>
      </c>
      <c r="AX156" s="31">
        <f>ROUND(G156*AP156,2)</f>
        <v>0</v>
      </c>
      <c r="AY156" s="34" t="s">
        <v>251</v>
      </c>
      <c r="AZ156" s="34" t="s">
        <v>243</v>
      </c>
      <c r="BA156" s="12" t="s">
        <v>63</v>
      </c>
      <c r="BC156" s="31">
        <f>AW156+AX156</f>
        <v>0</v>
      </c>
      <c r="BD156" s="31">
        <f>H156/(100-BE156)*100</f>
        <v>0</v>
      </c>
      <c r="BE156" s="31">
        <v>0</v>
      </c>
      <c r="BF156" s="31">
        <f>O156</f>
        <v>11.900174999999999</v>
      </c>
      <c r="BH156" s="31">
        <f>G156*AO156</f>
        <v>0</v>
      </c>
      <c r="BI156" s="31">
        <f>G156*AP156</f>
        <v>0</v>
      </c>
      <c r="BJ156" s="31">
        <f>G156*H156</f>
        <v>0</v>
      </c>
      <c r="BK156" s="34" t="s">
        <v>64</v>
      </c>
      <c r="BL156" s="31">
        <v>767</v>
      </c>
      <c r="BW156" s="31">
        <f>I156</f>
        <v>21</v>
      </c>
      <c r="BX156" s="4" t="s">
        <v>1092</v>
      </c>
    </row>
    <row r="157" spans="1:76" x14ac:dyDescent="0.25">
      <c r="A157" s="43"/>
      <c r="B157" s="44"/>
      <c r="C157" s="44"/>
      <c r="D157" s="87" t="s">
        <v>1170</v>
      </c>
      <c r="E157" s="102" t="s">
        <v>53</v>
      </c>
      <c r="F157" s="283"/>
      <c r="G157" s="37">
        <v>11333.5</v>
      </c>
      <c r="H157" s="44"/>
      <c r="I157" s="44"/>
      <c r="J157" s="44"/>
      <c r="K157" s="44"/>
      <c r="L157" s="44"/>
      <c r="M157" s="44"/>
      <c r="N157" s="44"/>
      <c r="O157" s="44"/>
      <c r="P157" s="45"/>
      <c r="BX157" t="s">
        <v>1170</v>
      </c>
    </row>
    <row r="158" spans="1:76" x14ac:dyDescent="0.25">
      <c r="A158" s="2">
        <f>A156+1</f>
        <v>54</v>
      </c>
      <c r="B158" s="3" t="s">
        <v>53</v>
      </c>
      <c r="C158" s="3" t="s">
        <v>252</v>
      </c>
      <c r="D158" s="310" t="s">
        <v>253</v>
      </c>
      <c r="E158" s="307"/>
      <c r="F158" s="3" t="s">
        <v>250</v>
      </c>
      <c r="G158" s="31">
        <v>272.60000000000002</v>
      </c>
      <c r="H158" s="31">
        <v>0</v>
      </c>
      <c r="I158" s="32">
        <v>21</v>
      </c>
      <c r="J158" s="31">
        <f>ROUND(G158*AO158,2)</f>
        <v>0</v>
      </c>
      <c r="K158" s="31">
        <f>ROUND(G158*AP158,2)</f>
        <v>0</v>
      </c>
      <c r="L158" s="31">
        <f>ROUND(G158*H158,2)</f>
        <v>0</v>
      </c>
      <c r="M158" s="31">
        <f>L158*(1+BW158/100)</f>
        <v>0</v>
      </c>
      <c r="N158" s="31">
        <v>6.0000000000000002E-5</v>
      </c>
      <c r="O158" s="31">
        <f>G158*N158</f>
        <v>1.6356000000000002E-2</v>
      </c>
      <c r="P158" s="33" t="s">
        <v>60</v>
      </c>
      <c r="Z158" s="31">
        <f>ROUND(IF(AQ158="5",BJ158,0),2)</f>
        <v>0</v>
      </c>
      <c r="AB158" s="31">
        <f>ROUND(IF(AQ158="1",BH158,0),2)</f>
        <v>0</v>
      </c>
      <c r="AC158" s="31">
        <f>ROUND(IF(AQ158="1",BI158,0),2)</f>
        <v>0</v>
      </c>
      <c r="AD158" s="31">
        <f>ROUND(IF(AQ158="7",BH158,0),2)</f>
        <v>0</v>
      </c>
      <c r="AE158" s="31">
        <f>ROUND(IF(AQ158="7",BI158,0),2)</f>
        <v>0</v>
      </c>
      <c r="AF158" s="31">
        <f>ROUND(IF(AQ158="2",BH158,0),2)</f>
        <v>0</v>
      </c>
      <c r="AG158" s="31">
        <f>ROUND(IF(AQ158="2",BI158,0),2)</f>
        <v>0</v>
      </c>
      <c r="AH158" s="31">
        <f>ROUND(IF(AQ158="0",BJ158,0),2)</f>
        <v>0</v>
      </c>
      <c r="AI158" s="12" t="s">
        <v>53</v>
      </c>
      <c r="AJ158" s="31">
        <f>IF(AN158=0,L158,0)</f>
        <v>0</v>
      </c>
      <c r="AK158" s="31">
        <f>IF(AN158=12,L158,0)</f>
        <v>0</v>
      </c>
      <c r="AL158" s="31">
        <f>IF(AN158=21,L158,0)</f>
        <v>0</v>
      </c>
      <c r="AN158" s="31">
        <v>21</v>
      </c>
      <c r="AO158" s="31">
        <f>H158*0.094876498</f>
        <v>0</v>
      </c>
      <c r="AP158" s="31">
        <f>H158*(1-0.094876498)</f>
        <v>0</v>
      </c>
      <c r="AQ158" s="34" t="s">
        <v>95</v>
      </c>
      <c r="AV158" s="31">
        <f>ROUND(AW158+AX158,2)</f>
        <v>0</v>
      </c>
      <c r="AW158" s="31">
        <f>ROUND(G158*AO158,2)</f>
        <v>0</v>
      </c>
      <c r="AX158" s="31">
        <f>ROUND(G158*AP158,2)</f>
        <v>0</v>
      </c>
      <c r="AY158" s="34" t="s">
        <v>251</v>
      </c>
      <c r="AZ158" s="34" t="s">
        <v>243</v>
      </c>
      <c r="BA158" s="12" t="s">
        <v>63</v>
      </c>
      <c r="BC158" s="31">
        <f>AW158+AX158</f>
        <v>0</v>
      </c>
      <c r="BD158" s="31">
        <f>H158/(100-BE158)*100</f>
        <v>0</v>
      </c>
      <c r="BE158" s="31">
        <v>0</v>
      </c>
      <c r="BF158" s="31">
        <f>O158</f>
        <v>1.6356000000000002E-2</v>
      </c>
      <c r="BH158" s="31">
        <f>G158*AO158</f>
        <v>0</v>
      </c>
      <c r="BI158" s="31">
        <f>G158*AP158</f>
        <v>0</v>
      </c>
      <c r="BJ158" s="31">
        <f>G158*H158</f>
        <v>0</v>
      </c>
      <c r="BK158" s="34" t="s">
        <v>64</v>
      </c>
      <c r="BL158" s="31">
        <v>767</v>
      </c>
      <c r="BW158" s="31">
        <f>I158</f>
        <v>21</v>
      </c>
      <c r="BX158" s="4" t="s">
        <v>253</v>
      </c>
    </row>
    <row r="159" spans="1:76" x14ac:dyDescent="0.25">
      <c r="A159" s="43"/>
      <c r="B159" s="44"/>
      <c r="C159" s="44"/>
      <c r="D159" s="87" t="s">
        <v>254</v>
      </c>
      <c r="E159" s="36" t="s">
        <v>53</v>
      </c>
      <c r="F159" s="44"/>
      <c r="G159" s="37">
        <v>272.60000000000002</v>
      </c>
      <c r="H159" s="44"/>
      <c r="I159" s="44"/>
      <c r="J159" s="44"/>
      <c r="K159" s="44"/>
      <c r="L159" s="44"/>
      <c r="M159" s="44"/>
      <c r="N159" s="44"/>
      <c r="O159" s="44"/>
      <c r="P159" s="45"/>
      <c r="BX159" t="s">
        <v>254</v>
      </c>
    </row>
    <row r="160" spans="1:76" ht="39.75" customHeight="1" x14ac:dyDescent="0.25">
      <c r="A160" s="2">
        <f>A158+1</f>
        <v>55</v>
      </c>
      <c r="B160" s="3" t="s">
        <v>53</v>
      </c>
      <c r="C160" s="3" t="s">
        <v>255</v>
      </c>
      <c r="D160" s="390" t="s">
        <v>627</v>
      </c>
      <c r="E160" s="307"/>
      <c r="F160" s="3" t="s">
        <v>256</v>
      </c>
      <c r="G160" s="31">
        <v>8</v>
      </c>
      <c r="H160" s="31">
        <v>0</v>
      </c>
      <c r="I160" s="32">
        <v>21</v>
      </c>
      <c r="J160" s="31">
        <f>ROUND(G160*AO160,2)</f>
        <v>0</v>
      </c>
      <c r="K160" s="31">
        <f>ROUND(G160*AP160,2)</f>
        <v>0</v>
      </c>
      <c r="L160" s="31">
        <f>ROUND(G160*H160,2)</f>
        <v>0</v>
      </c>
      <c r="M160" s="31">
        <f>L160*(1+BW160/100)</f>
        <v>0</v>
      </c>
      <c r="N160" s="31">
        <v>4.8000000000000001E-4</v>
      </c>
      <c r="O160" s="31">
        <f>G160*N160</f>
        <v>3.8400000000000001E-3</v>
      </c>
      <c r="P160" s="33" t="s">
        <v>60</v>
      </c>
      <c r="Z160" s="31">
        <f>ROUND(IF(AQ160="5",BJ160,0),2)</f>
        <v>0</v>
      </c>
      <c r="AB160" s="31">
        <f>ROUND(IF(AQ160="1",BH160,0),2)</f>
        <v>0</v>
      </c>
      <c r="AC160" s="31">
        <f>ROUND(IF(AQ160="1",BI160,0),2)</f>
        <v>0</v>
      </c>
      <c r="AD160" s="31">
        <f>ROUND(IF(AQ160="7",BH160,0),2)</f>
        <v>0</v>
      </c>
      <c r="AE160" s="31">
        <f>ROUND(IF(AQ160="7",BI160,0),2)</f>
        <v>0</v>
      </c>
      <c r="AF160" s="31">
        <f>ROUND(IF(AQ160="2",BH160,0),2)</f>
        <v>0</v>
      </c>
      <c r="AG160" s="31">
        <f>ROUND(IF(AQ160="2",BI160,0),2)</f>
        <v>0</v>
      </c>
      <c r="AH160" s="31">
        <f>ROUND(IF(AQ160="0",BJ160,0),2)</f>
        <v>0</v>
      </c>
      <c r="AI160" s="12" t="s">
        <v>53</v>
      </c>
      <c r="AJ160" s="31">
        <f>IF(AN160=0,L160,0)</f>
        <v>0</v>
      </c>
      <c r="AK160" s="31">
        <f>IF(AN160=12,L160,0)</f>
        <v>0</v>
      </c>
      <c r="AL160" s="31">
        <f>IF(AN160=21,L160,0)</f>
        <v>0</v>
      </c>
      <c r="AN160" s="31">
        <v>21</v>
      </c>
      <c r="AO160" s="31">
        <f>H160*0.560891266</f>
        <v>0</v>
      </c>
      <c r="AP160" s="31">
        <f>H160*(1-0.560891266)</f>
        <v>0</v>
      </c>
      <c r="AQ160" s="34" t="s">
        <v>95</v>
      </c>
      <c r="AV160" s="31">
        <f>ROUND(AW160+AX160,2)</f>
        <v>0</v>
      </c>
      <c r="AW160" s="31">
        <f>ROUND(G160*AO160,2)</f>
        <v>0</v>
      </c>
      <c r="AX160" s="31">
        <f>ROUND(G160*AP160,2)</f>
        <v>0</v>
      </c>
      <c r="AY160" s="34" t="s">
        <v>251</v>
      </c>
      <c r="AZ160" s="34" t="s">
        <v>243</v>
      </c>
      <c r="BA160" s="12" t="s">
        <v>63</v>
      </c>
      <c r="BC160" s="31">
        <f>AW160+AX160</f>
        <v>0</v>
      </c>
      <c r="BD160" s="31">
        <f>H160/(100-BE160)*100</f>
        <v>0</v>
      </c>
      <c r="BE160" s="31">
        <v>0</v>
      </c>
      <c r="BF160" s="31">
        <f>O160</f>
        <v>3.8400000000000001E-3</v>
      </c>
      <c r="BH160" s="31">
        <f>G160*AO160</f>
        <v>0</v>
      </c>
      <c r="BI160" s="31">
        <f>G160*AP160</f>
        <v>0</v>
      </c>
      <c r="BJ160" s="31">
        <f>G160*H160</f>
        <v>0</v>
      </c>
      <c r="BK160" s="34" t="s">
        <v>64</v>
      </c>
      <c r="BL160" s="31">
        <v>767</v>
      </c>
      <c r="BW160" s="31">
        <f>I160</f>
        <v>21</v>
      </c>
      <c r="BX160" s="4" t="s">
        <v>627</v>
      </c>
    </row>
    <row r="161" spans="1:76" x14ac:dyDescent="0.25">
      <c r="A161" s="43"/>
      <c r="B161" s="44"/>
      <c r="C161" s="44"/>
      <c r="D161" s="87" t="s">
        <v>855</v>
      </c>
      <c r="E161" s="36" t="s">
        <v>53</v>
      </c>
      <c r="F161" s="44"/>
      <c r="G161" s="37">
        <v>8</v>
      </c>
      <c r="H161" s="44"/>
      <c r="I161" s="44"/>
      <c r="J161" s="44"/>
      <c r="K161" s="44"/>
      <c r="L161" s="44"/>
      <c r="M161" s="44"/>
      <c r="N161" s="44"/>
      <c r="O161" s="44"/>
      <c r="P161" s="45"/>
      <c r="BX161" t="s">
        <v>855</v>
      </c>
    </row>
    <row r="162" spans="1:76" ht="36" customHeight="1" x14ac:dyDescent="0.25">
      <c r="A162" s="2">
        <f>A160+1</f>
        <v>56</v>
      </c>
      <c r="B162" s="3" t="s">
        <v>53</v>
      </c>
      <c r="C162" s="3" t="s">
        <v>257</v>
      </c>
      <c r="D162" s="390" t="s">
        <v>626</v>
      </c>
      <c r="E162" s="307"/>
      <c r="F162" s="3" t="s">
        <v>256</v>
      </c>
      <c r="G162" s="31">
        <v>2</v>
      </c>
      <c r="H162" s="31">
        <v>0</v>
      </c>
      <c r="I162" s="32">
        <v>21</v>
      </c>
      <c r="J162" s="31">
        <f>ROUND(G162*AO162,2)</f>
        <v>0</v>
      </c>
      <c r="K162" s="31">
        <f>ROUND(G162*AP162,2)</f>
        <v>0</v>
      </c>
      <c r="L162" s="31">
        <f>ROUND(G162*H162,2)</f>
        <v>0</v>
      </c>
      <c r="M162" s="31">
        <f>L162*(1+BW162/100)</f>
        <v>0</v>
      </c>
      <c r="N162" s="31">
        <v>3.8E-3</v>
      </c>
      <c r="O162" s="31">
        <f>G162*N162</f>
        <v>7.6E-3</v>
      </c>
      <c r="P162" s="33" t="s">
        <v>60</v>
      </c>
      <c r="Z162" s="31">
        <f>ROUND(IF(AQ162="5",BJ162,0),2)</f>
        <v>0</v>
      </c>
      <c r="AB162" s="31">
        <f>ROUND(IF(AQ162="1",BH162,0),2)</f>
        <v>0</v>
      </c>
      <c r="AC162" s="31">
        <f>ROUND(IF(AQ162="1",BI162,0),2)</f>
        <v>0</v>
      </c>
      <c r="AD162" s="31">
        <f>ROUND(IF(AQ162="7",BH162,0),2)</f>
        <v>0</v>
      </c>
      <c r="AE162" s="31">
        <f>ROUND(IF(AQ162="7",BI162,0),2)</f>
        <v>0</v>
      </c>
      <c r="AF162" s="31">
        <f>ROUND(IF(AQ162="2",BH162,0),2)</f>
        <v>0</v>
      </c>
      <c r="AG162" s="31">
        <f>ROUND(IF(AQ162="2",BI162,0),2)</f>
        <v>0</v>
      </c>
      <c r="AH162" s="31">
        <f>ROUND(IF(AQ162="0",BJ162,0),2)</f>
        <v>0</v>
      </c>
      <c r="AI162" s="12" t="s">
        <v>53</v>
      </c>
      <c r="AJ162" s="31">
        <f>IF(AN162=0,L162,0)</f>
        <v>0</v>
      </c>
      <c r="AK162" s="31">
        <f>IF(AN162=12,L162,0)</f>
        <v>0</v>
      </c>
      <c r="AL162" s="31">
        <f>IF(AN162=21,L162,0)</f>
        <v>0</v>
      </c>
      <c r="AN162" s="31">
        <v>21</v>
      </c>
      <c r="AO162" s="31">
        <f>H162*0.23847561</f>
        <v>0</v>
      </c>
      <c r="AP162" s="31">
        <f>H162*(1-0.23847561)</f>
        <v>0</v>
      </c>
      <c r="AQ162" s="34" t="s">
        <v>95</v>
      </c>
      <c r="AV162" s="31">
        <f>ROUND(AW162+AX162,2)</f>
        <v>0</v>
      </c>
      <c r="AW162" s="31">
        <f>ROUND(G162*AO162,2)</f>
        <v>0</v>
      </c>
      <c r="AX162" s="31">
        <f>ROUND(G162*AP162,2)</f>
        <v>0</v>
      </c>
      <c r="AY162" s="34" t="s">
        <v>251</v>
      </c>
      <c r="AZ162" s="34" t="s">
        <v>243</v>
      </c>
      <c r="BA162" s="12" t="s">
        <v>63</v>
      </c>
      <c r="BC162" s="31">
        <f>AW162+AX162</f>
        <v>0</v>
      </c>
      <c r="BD162" s="31">
        <f>H162/(100-BE162)*100</f>
        <v>0</v>
      </c>
      <c r="BE162" s="31">
        <v>0</v>
      </c>
      <c r="BF162" s="31">
        <f>O162</f>
        <v>7.6E-3</v>
      </c>
      <c r="BH162" s="31">
        <f>G162*AO162</f>
        <v>0</v>
      </c>
      <c r="BI162" s="31">
        <f>G162*AP162</f>
        <v>0</v>
      </c>
      <c r="BJ162" s="31">
        <f>G162*H162</f>
        <v>0</v>
      </c>
      <c r="BK162" s="34" t="s">
        <v>64</v>
      </c>
      <c r="BL162" s="31">
        <v>767</v>
      </c>
      <c r="BW162" s="31">
        <f>I162</f>
        <v>21</v>
      </c>
      <c r="BX162" s="4" t="s">
        <v>626</v>
      </c>
    </row>
    <row r="163" spans="1:76" x14ac:dyDescent="0.25">
      <c r="A163" s="43"/>
      <c r="B163" s="44"/>
      <c r="C163" s="44"/>
      <c r="D163" s="87" t="s">
        <v>258</v>
      </c>
      <c r="E163" s="36" t="s">
        <v>53</v>
      </c>
      <c r="F163" s="44"/>
      <c r="G163" s="37">
        <v>2</v>
      </c>
      <c r="H163" s="44"/>
      <c r="I163" s="44"/>
      <c r="J163" s="44"/>
      <c r="K163" s="44"/>
      <c r="L163" s="44"/>
      <c r="M163" s="44"/>
      <c r="N163" s="44"/>
      <c r="O163" s="44"/>
      <c r="P163" s="45"/>
      <c r="BX163" t="s">
        <v>258</v>
      </c>
    </row>
    <row r="164" spans="1:76" x14ac:dyDescent="0.25">
      <c r="A164" s="2">
        <f>A162+1</f>
        <v>57</v>
      </c>
      <c r="B164" s="3" t="s">
        <v>53</v>
      </c>
      <c r="C164" s="3" t="s">
        <v>259</v>
      </c>
      <c r="D164" s="310" t="s">
        <v>260</v>
      </c>
      <c r="E164" s="307"/>
      <c r="F164" s="3" t="s">
        <v>250</v>
      </c>
      <c r="G164" s="31">
        <v>244.2</v>
      </c>
      <c r="H164" s="31">
        <v>0</v>
      </c>
      <c r="I164" s="32">
        <v>21</v>
      </c>
      <c r="J164" s="31">
        <f>ROUND(G164*AO164,2)</f>
        <v>0</v>
      </c>
      <c r="K164" s="31">
        <f>ROUND(G164*AP164,2)</f>
        <v>0</v>
      </c>
      <c r="L164" s="31">
        <f>ROUND(G164*H164,2)</f>
        <v>0</v>
      </c>
      <c r="M164" s="31">
        <f>L164*(1+BW164/100)</f>
        <v>0</v>
      </c>
      <c r="N164" s="31">
        <v>6.1600000000000002E-2</v>
      </c>
      <c r="O164" s="31">
        <f>G164*N164</f>
        <v>15.042719999999999</v>
      </c>
      <c r="P164" s="33" t="s">
        <v>60</v>
      </c>
      <c r="Z164" s="31">
        <f>ROUND(IF(AQ164="5",BJ164,0),2)</f>
        <v>0</v>
      </c>
      <c r="AB164" s="31">
        <f>ROUND(IF(AQ164="1",BH164,0),2)</f>
        <v>0</v>
      </c>
      <c r="AC164" s="31">
        <f>ROUND(IF(AQ164="1",BI164,0),2)</f>
        <v>0</v>
      </c>
      <c r="AD164" s="31">
        <f>ROUND(IF(AQ164="7",BH164,0),2)</f>
        <v>0</v>
      </c>
      <c r="AE164" s="31">
        <f>ROUND(IF(AQ164="7",BI164,0),2)</f>
        <v>0</v>
      </c>
      <c r="AF164" s="31">
        <f>ROUND(IF(AQ164="2",BH164,0),2)</f>
        <v>0</v>
      </c>
      <c r="AG164" s="31">
        <f>ROUND(IF(AQ164="2",BI164,0),2)</f>
        <v>0</v>
      </c>
      <c r="AH164" s="31">
        <f>ROUND(IF(AQ164="0",BJ164,0),2)</f>
        <v>0</v>
      </c>
      <c r="AI164" s="12" t="s">
        <v>53</v>
      </c>
      <c r="AJ164" s="31">
        <f>IF(AN164=0,L164,0)</f>
        <v>0</v>
      </c>
      <c r="AK164" s="31">
        <f>IF(AN164=12,L164,0)</f>
        <v>0</v>
      </c>
      <c r="AL164" s="31">
        <f>IF(AN164=21,L164,0)</f>
        <v>0</v>
      </c>
      <c r="AN164" s="31">
        <v>21</v>
      </c>
      <c r="AO164" s="31">
        <f>H164*0.360240104</f>
        <v>0</v>
      </c>
      <c r="AP164" s="31">
        <f>H164*(1-0.360240104)</f>
        <v>0</v>
      </c>
      <c r="AQ164" s="34" t="s">
        <v>95</v>
      </c>
      <c r="AV164" s="31">
        <f>ROUND(AW164+AX164,2)</f>
        <v>0</v>
      </c>
      <c r="AW164" s="31">
        <f>ROUND(G164*AO164,2)</f>
        <v>0</v>
      </c>
      <c r="AX164" s="31">
        <f>ROUND(G164*AP164,2)</f>
        <v>0</v>
      </c>
      <c r="AY164" s="34" t="s">
        <v>251</v>
      </c>
      <c r="AZ164" s="34" t="s">
        <v>243</v>
      </c>
      <c r="BA164" s="12" t="s">
        <v>63</v>
      </c>
      <c r="BC164" s="31">
        <f>AW164+AX164</f>
        <v>0</v>
      </c>
      <c r="BD164" s="31">
        <f>H164/(100-BE164)*100</f>
        <v>0</v>
      </c>
      <c r="BE164" s="31">
        <v>0</v>
      </c>
      <c r="BF164" s="31">
        <f>O164</f>
        <v>15.042719999999999</v>
      </c>
      <c r="BH164" s="31">
        <f>G164*AO164</f>
        <v>0</v>
      </c>
      <c r="BI164" s="31">
        <f>G164*AP164</f>
        <v>0</v>
      </c>
      <c r="BJ164" s="31">
        <f>G164*H164</f>
        <v>0</v>
      </c>
      <c r="BK164" s="34" t="s">
        <v>64</v>
      </c>
      <c r="BL164" s="31">
        <v>767</v>
      </c>
      <c r="BW164" s="31">
        <f>I164</f>
        <v>21</v>
      </c>
      <c r="BX164" s="4" t="s">
        <v>260</v>
      </c>
    </row>
    <row r="165" spans="1:76" x14ac:dyDescent="0.25">
      <c r="A165" s="43"/>
      <c r="B165" s="44"/>
      <c r="C165" s="44"/>
      <c r="D165" s="87" t="s">
        <v>261</v>
      </c>
      <c r="E165" s="36" t="s">
        <v>53</v>
      </c>
      <c r="F165" s="44"/>
      <c r="G165" s="37">
        <v>244.2</v>
      </c>
      <c r="H165" s="44"/>
      <c r="I165" s="44"/>
      <c r="J165" s="44"/>
      <c r="K165" s="44"/>
      <c r="L165" s="44"/>
      <c r="M165" s="44"/>
      <c r="N165" s="44"/>
      <c r="O165" s="44"/>
      <c r="P165" s="45"/>
      <c r="BX165" t="s">
        <v>261</v>
      </c>
    </row>
    <row r="166" spans="1:76" x14ac:dyDescent="0.25">
      <c r="A166" s="2">
        <f>A164+1</f>
        <v>58</v>
      </c>
      <c r="B166" s="3" t="s">
        <v>53</v>
      </c>
      <c r="C166" s="3" t="s">
        <v>252</v>
      </c>
      <c r="D166" s="310" t="s">
        <v>262</v>
      </c>
      <c r="E166" s="307"/>
      <c r="F166" s="3" t="s">
        <v>250</v>
      </c>
      <c r="G166" s="31">
        <v>470.24399999999997</v>
      </c>
      <c r="H166" s="31">
        <v>0</v>
      </c>
      <c r="I166" s="32">
        <v>21</v>
      </c>
      <c r="J166" s="31">
        <f>ROUND(G166*AO166,2)</f>
        <v>0</v>
      </c>
      <c r="K166" s="31">
        <f>ROUND(G166*AP166,2)</f>
        <v>0</v>
      </c>
      <c r="L166" s="31">
        <f>ROUND(G166*H166,2)</f>
        <v>0</v>
      </c>
      <c r="M166" s="31">
        <f>L166*(1+BW166/100)</f>
        <v>0</v>
      </c>
      <c r="N166" s="31">
        <v>6.0000000000000002E-5</v>
      </c>
      <c r="O166" s="31">
        <f>G166*N166</f>
        <v>2.8214639999999999E-2</v>
      </c>
      <c r="P166" s="33" t="s">
        <v>60</v>
      </c>
      <c r="Z166" s="31">
        <f>ROUND(IF(AQ166="5",BJ166,0),2)</f>
        <v>0</v>
      </c>
      <c r="AB166" s="31">
        <f>ROUND(IF(AQ166="1",BH166,0),2)</f>
        <v>0</v>
      </c>
      <c r="AC166" s="31">
        <f>ROUND(IF(AQ166="1",BI166,0),2)</f>
        <v>0</v>
      </c>
      <c r="AD166" s="31">
        <f>ROUND(IF(AQ166="7",BH166,0),2)</f>
        <v>0</v>
      </c>
      <c r="AE166" s="31">
        <f>ROUND(IF(AQ166="7",BI166,0),2)</f>
        <v>0</v>
      </c>
      <c r="AF166" s="31">
        <f>ROUND(IF(AQ166="2",BH166,0),2)</f>
        <v>0</v>
      </c>
      <c r="AG166" s="31">
        <f>ROUND(IF(AQ166="2",BI166,0),2)</f>
        <v>0</v>
      </c>
      <c r="AH166" s="31">
        <f>ROUND(IF(AQ166="0",BJ166,0),2)</f>
        <v>0</v>
      </c>
      <c r="AI166" s="12" t="s">
        <v>53</v>
      </c>
      <c r="AJ166" s="31">
        <f>IF(AN166=0,L166,0)</f>
        <v>0</v>
      </c>
      <c r="AK166" s="31">
        <f>IF(AN166=12,L166,0)</f>
        <v>0</v>
      </c>
      <c r="AL166" s="31">
        <f>IF(AN166=21,L166,0)</f>
        <v>0</v>
      </c>
      <c r="AN166" s="31">
        <v>21</v>
      </c>
      <c r="AO166" s="31">
        <f>H166*0.204955836</f>
        <v>0</v>
      </c>
      <c r="AP166" s="31">
        <f>H166*(1-0.204955836)</f>
        <v>0</v>
      </c>
      <c r="AQ166" s="34" t="s">
        <v>95</v>
      </c>
      <c r="AV166" s="31">
        <f>ROUND(AW166+AX166,2)</f>
        <v>0</v>
      </c>
      <c r="AW166" s="31">
        <f>ROUND(G166*AO166,2)</f>
        <v>0</v>
      </c>
      <c r="AX166" s="31">
        <f>ROUND(G166*AP166,2)</f>
        <v>0</v>
      </c>
      <c r="AY166" s="34" t="s">
        <v>251</v>
      </c>
      <c r="AZ166" s="34" t="s">
        <v>243</v>
      </c>
      <c r="BA166" s="12" t="s">
        <v>63</v>
      </c>
      <c r="BC166" s="31">
        <f>AW166+AX166</f>
        <v>0</v>
      </c>
      <c r="BD166" s="31">
        <f>H166/(100-BE166)*100</f>
        <v>0</v>
      </c>
      <c r="BE166" s="31">
        <v>0</v>
      </c>
      <c r="BF166" s="31">
        <f>O166</f>
        <v>2.8214639999999999E-2</v>
      </c>
      <c r="BH166" s="31">
        <f>G166*AO166</f>
        <v>0</v>
      </c>
      <c r="BI166" s="31">
        <f>G166*AP166</f>
        <v>0</v>
      </c>
      <c r="BJ166" s="31">
        <f>G166*H166</f>
        <v>0</v>
      </c>
      <c r="BK166" s="34" t="s">
        <v>64</v>
      </c>
      <c r="BL166" s="31">
        <v>767</v>
      </c>
      <c r="BW166" s="31">
        <f>I166</f>
        <v>21</v>
      </c>
      <c r="BX166" s="4" t="s">
        <v>262</v>
      </c>
    </row>
    <row r="167" spans="1:76" x14ac:dyDescent="0.25">
      <c r="A167" s="43"/>
      <c r="B167" s="44"/>
      <c r="C167" s="44"/>
      <c r="D167" s="87" t="s">
        <v>637</v>
      </c>
      <c r="E167" s="102" t="s">
        <v>53</v>
      </c>
      <c r="F167" s="283"/>
      <c r="G167" s="289">
        <v>105.32400000000001</v>
      </c>
      <c r="H167" s="44"/>
      <c r="I167" s="44"/>
      <c r="J167" s="44"/>
      <c r="K167" s="44"/>
      <c r="L167" s="44"/>
      <c r="M167" s="44"/>
      <c r="N167" s="44"/>
      <c r="O167" s="44"/>
      <c r="P167" s="45"/>
      <c r="BX167" t="s">
        <v>637</v>
      </c>
    </row>
    <row r="168" spans="1:76" x14ac:dyDescent="0.25">
      <c r="A168" s="103"/>
      <c r="B168" s="104"/>
      <c r="C168" s="104"/>
      <c r="D168" s="87" t="s">
        <v>816</v>
      </c>
      <c r="E168" s="36" t="s">
        <v>53</v>
      </c>
      <c r="F168" s="44"/>
      <c r="G168" s="37">
        <v>192.28999999999996</v>
      </c>
      <c r="H168" s="104"/>
      <c r="I168" s="104"/>
      <c r="J168" s="104"/>
      <c r="K168" s="104"/>
      <c r="L168" s="104"/>
      <c r="M168" s="104"/>
      <c r="N168" s="104"/>
      <c r="O168" s="104"/>
      <c r="P168" s="105"/>
      <c r="BX168" t="s">
        <v>816</v>
      </c>
    </row>
    <row r="169" spans="1:76" x14ac:dyDescent="0.25">
      <c r="A169" s="43"/>
      <c r="B169" s="44"/>
      <c r="C169" s="44"/>
      <c r="D169" s="87" t="s">
        <v>263</v>
      </c>
      <c r="E169" s="36" t="s">
        <v>53</v>
      </c>
      <c r="F169" s="44"/>
      <c r="G169" s="37">
        <v>15.08</v>
      </c>
      <c r="H169" s="44"/>
      <c r="I169" s="44"/>
      <c r="J169" s="44"/>
      <c r="K169" s="44"/>
      <c r="L169" s="44"/>
      <c r="M169" s="44"/>
      <c r="N169" s="44"/>
      <c r="O169" s="44"/>
      <c r="P169" s="45"/>
      <c r="BX169" t="s">
        <v>263</v>
      </c>
    </row>
    <row r="170" spans="1:76" ht="25.5" x14ac:dyDescent="0.25">
      <c r="A170" s="43"/>
      <c r="B170" s="44"/>
      <c r="C170" s="44"/>
      <c r="D170" s="87" t="s">
        <v>264</v>
      </c>
      <c r="E170" s="36" t="s">
        <v>53</v>
      </c>
      <c r="F170" s="44"/>
      <c r="G170" s="37">
        <v>23.55</v>
      </c>
      <c r="H170" s="44"/>
      <c r="I170" s="44"/>
      <c r="J170" s="44"/>
      <c r="K170" s="44"/>
      <c r="L170" s="44"/>
      <c r="M170" s="44"/>
      <c r="N170" s="44"/>
      <c r="O170" s="44"/>
      <c r="P170" s="45"/>
      <c r="BX170" t="s">
        <v>264</v>
      </c>
    </row>
    <row r="171" spans="1:76" x14ac:dyDescent="0.25">
      <c r="A171" s="103"/>
      <c r="B171" s="104"/>
      <c r="C171" s="104"/>
      <c r="D171" s="95" t="s">
        <v>636</v>
      </c>
      <c r="E171" s="36" t="s">
        <v>53</v>
      </c>
      <c r="G171" s="37">
        <v>134</v>
      </c>
      <c r="H171" s="104"/>
      <c r="I171" s="104"/>
      <c r="J171" s="104"/>
      <c r="K171" s="104"/>
      <c r="L171" s="104"/>
      <c r="M171" s="104"/>
      <c r="N171" s="104"/>
      <c r="O171" s="104"/>
      <c r="P171" s="105"/>
      <c r="BX171" t="s">
        <v>636</v>
      </c>
    </row>
    <row r="172" spans="1:76" s="106" customFormat="1" x14ac:dyDescent="0.25">
      <c r="A172" s="88">
        <f>A166+1</f>
        <v>59</v>
      </c>
      <c r="B172" s="89" t="s">
        <v>53</v>
      </c>
      <c r="C172" s="89" t="s">
        <v>255</v>
      </c>
      <c r="D172" s="370" t="s">
        <v>856</v>
      </c>
      <c r="E172" s="371"/>
      <c r="F172" s="202" t="s">
        <v>256</v>
      </c>
      <c r="G172" s="203">
        <v>234</v>
      </c>
      <c r="H172" s="97">
        <v>0</v>
      </c>
      <c r="I172" s="98">
        <v>21</v>
      </c>
      <c r="J172" s="97">
        <f>ROUND(G172*AO172,2)</f>
        <v>0</v>
      </c>
      <c r="K172" s="97">
        <f>ROUND(G172*AP172,2)</f>
        <v>0</v>
      </c>
      <c r="L172" s="97">
        <f>ROUND(G172*H172,2)</f>
        <v>0</v>
      </c>
      <c r="M172" s="97">
        <f>L172*(1+BW172/100)</f>
        <v>0</v>
      </c>
      <c r="N172" s="97">
        <v>4.8000000000000001E-4</v>
      </c>
      <c r="O172" s="97">
        <f>G172*N172</f>
        <v>0.11232</v>
      </c>
      <c r="P172" s="99" t="s">
        <v>60</v>
      </c>
      <c r="Z172" s="97">
        <f>ROUND(IF(AQ172="5",BJ172,0),2)</f>
        <v>0</v>
      </c>
      <c r="AB172" s="97">
        <f>ROUND(IF(AQ172="1",BH172,0),2)</f>
        <v>0</v>
      </c>
      <c r="AC172" s="97">
        <f>ROUND(IF(AQ172="1",BI172,0),2)</f>
        <v>0</v>
      </c>
      <c r="AD172" s="97">
        <f>ROUND(IF(AQ172="7",BH172,0),2)</f>
        <v>0</v>
      </c>
      <c r="AE172" s="97">
        <f>ROUND(IF(AQ172="7",BI172,0),2)</f>
        <v>0</v>
      </c>
      <c r="AF172" s="97">
        <f>ROUND(IF(AQ172="2",BH172,0),2)</f>
        <v>0</v>
      </c>
      <c r="AG172" s="97">
        <f>ROUND(IF(AQ172="2",BI172,0),2)</f>
        <v>0</v>
      </c>
      <c r="AH172" s="97">
        <f>ROUND(IF(AQ172="0",BJ172,0),2)</f>
        <v>0</v>
      </c>
      <c r="AI172" s="100" t="s">
        <v>53</v>
      </c>
      <c r="AJ172" s="97">
        <f>IF(AN172=0,L172,0)</f>
        <v>0</v>
      </c>
      <c r="AK172" s="97">
        <f>IF(AN172=12,L172,0)</f>
        <v>0</v>
      </c>
      <c r="AL172" s="97">
        <f>IF(AN172=21,L172,0)</f>
        <v>0</v>
      </c>
      <c r="AN172" s="97">
        <v>21</v>
      </c>
      <c r="AO172" s="97">
        <f>H172*0.560878477</f>
        <v>0</v>
      </c>
      <c r="AP172" s="97">
        <f>H172*(1-0.560878477)</f>
        <v>0</v>
      </c>
      <c r="AQ172" s="101" t="s">
        <v>95</v>
      </c>
      <c r="AV172" s="97">
        <f>ROUND(AW172+AX172,2)</f>
        <v>0</v>
      </c>
      <c r="AW172" s="97">
        <f>ROUND(G172*AO172,2)</f>
        <v>0</v>
      </c>
      <c r="AX172" s="97">
        <f>ROUND(G172*AP172,2)</f>
        <v>0</v>
      </c>
      <c r="AY172" s="101" t="s">
        <v>251</v>
      </c>
      <c r="AZ172" s="101" t="s">
        <v>243</v>
      </c>
      <c r="BA172" s="100" t="s">
        <v>63</v>
      </c>
      <c r="BC172" s="97">
        <f>AW172+AX172</f>
        <v>0</v>
      </c>
      <c r="BD172" s="97">
        <f>H172/(100-BE172)*100</f>
        <v>0</v>
      </c>
      <c r="BE172" s="97">
        <v>0</v>
      </c>
      <c r="BF172" s="97">
        <f>O172</f>
        <v>0.11232</v>
      </c>
      <c r="BH172" s="97">
        <f>G172*AO172</f>
        <v>0</v>
      </c>
      <c r="BI172" s="97">
        <f>G172*AP172</f>
        <v>0</v>
      </c>
      <c r="BJ172" s="97">
        <f>G172*H172</f>
        <v>0</v>
      </c>
      <c r="BK172" s="101" t="s">
        <v>64</v>
      </c>
      <c r="BL172" s="97">
        <v>767</v>
      </c>
      <c r="BW172" s="97">
        <f>I172</f>
        <v>21</v>
      </c>
      <c r="BX172" s="96" t="s">
        <v>856</v>
      </c>
    </row>
    <row r="173" spans="1:76" s="106" customFormat="1" x14ac:dyDescent="0.25">
      <c r="A173" s="91"/>
      <c r="D173" s="204" t="s">
        <v>1168</v>
      </c>
      <c r="E173" s="204" t="s">
        <v>53</v>
      </c>
      <c r="F173" s="205"/>
      <c r="G173" s="206">
        <v>234</v>
      </c>
      <c r="H173" s="205"/>
      <c r="P173" s="93"/>
      <c r="BX173" s="106" t="s">
        <v>1168</v>
      </c>
    </row>
    <row r="174" spans="1:76" x14ac:dyDescent="0.25">
      <c r="A174" s="2">
        <f>A172+1</f>
        <v>60</v>
      </c>
      <c r="B174" s="3" t="s">
        <v>53</v>
      </c>
      <c r="C174" s="3" t="s">
        <v>265</v>
      </c>
      <c r="D174" s="310" t="s">
        <v>817</v>
      </c>
      <c r="E174" s="307"/>
      <c r="F174" s="285" t="s">
        <v>256</v>
      </c>
      <c r="G174" s="287">
        <v>6</v>
      </c>
      <c r="H174" s="31">
        <v>0</v>
      </c>
      <c r="I174" s="32">
        <v>21</v>
      </c>
      <c r="J174" s="31">
        <f>ROUND(G174*AO174,2)</f>
        <v>0</v>
      </c>
      <c r="K174" s="31">
        <f>ROUND(G174*AP174,2)</f>
        <v>0</v>
      </c>
      <c r="L174" s="31">
        <f>ROUND(G174*H174,2)</f>
        <v>0</v>
      </c>
      <c r="M174" s="31">
        <f>L174*(1+BW174/100)</f>
        <v>0</v>
      </c>
      <c r="N174" s="31">
        <v>0</v>
      </c>
      <c r="O174" s="31">
        <f>G174*N174</f>
        <v>0</v>
      </c>
      <c r="P174" s="33" t="s">
        <v>60</v>
      </c>
      <c r="Z174" s="31">
        <f>ROUND(IF(AQ174="5",BJ174,0),2)</f>
        <v>0</v>
      </c>
      <c r="AB174" s="31">
        <f>ROUND(IF(AQ174="1",BH174,0),2)</f>
        <v>0</v>
      </c>
      <c r="AC174" s="31">
        <f>ROUND(IF(AQ174="1",BI174,0),2)</f>
        <v>0</v>
      </c>
      <c r="AD174" s="31">
        <f>ROUND(IF(AQ174="7",BH174,0),2)</f>
        <v>0</v>
      </c>
      <c r="AE174" s="31">
        <f>ROUND(IF(AQ174="7",BI174,0),2)</f>
        <v>0</v>
      </c>
      <c r="AF174" s="31">
        <f>ROUND(IF(AQ174="2",BH174,0),2)</f>
        <v>0</v>
      </c>
      <c r="AG174" s="31">
        <f>ROUND(IF(AQ174="2",BI174,0),2)</f>
        <v>0</v>
      </c>
      <c r="AH174" s="31">
        <f>ROUND(IF(AQ174="0",BJ174,0),2)</f>
        <v>0</v>
      </c>
      <c r="AI174" s="12" t="s">
        <v>53</v>
      </c>
      <c r="AJ174" s="31">
        <f>IF(AN174=0,L174,0)</f>
        <v>0</v>
      </c>
      <c r="AK174" s="31">
        <f>IF(AN174=12,L174,0)</f>
        <v>0</v>
      </c>
      <c r="AL174" s="31">
        <f>IF(AN174=21,L174,0)</f>
        <v>0</v>
      </c>
      <c r="AN174" s="31">
        <v>21</v>
      </c>
      <c r="AO174" s="31">
        <f>H174*0.425440613</f>
        <v>0</v>
      </c>
      <c r="AP174" s="31">
        <f>H174*(1-0.425440613)</f>
        <v>0</v>
      </c>
      <c r="AQ174" s="34" t="s">
        <v>95</v>
      </c>
      <c r="AV174" s="31">
        <f>ROUND(AW174+AX174,2)</f>
        <v>0</v>
      </c>
      <c r="AW174" s="31">
        <f>ROUND(G174*AO174,2)</f>
        <v>0</v>
      </c>
      <c r="AX174" s="31">
        <f>ROUND(G174*AP174,2)</f>
        <v>0</v>
      </c>
      <c r="AY174" s="34" t="s">
        <v>251</v>
      </c>
      <c r="AZ174" s="34" t="s">
        <v>243</v>
      </c>
      <c r="BA174" s="12" t="s">
        <v>63</v>
      </c>
      <c r="BC174" s="31">
        <f>AW174+AX174</f>
        <v>0</v>
      </c>
      <c r="BD174" s="31">
        <f>H174/(100-BE174)*100</f>
        <v>0</v>
      </c>
      <c r="BE174" s="31">
        <v>0</v>
      </c>
      <c r="BF174" s="31">
        <f>O174</f>
        <v>0</v>
      </c>
      <c r="BH174" s="31">
        <f>G174*AO174</f>
        <v>0</v>
      </c>
      <c r="BI174" s="31">
        <f>G174*AP174</f>
        <v>0</v>
      </c>
      <c r="BJ174" s="31">
        <f>G174*H174</f>
        <v>0</v>
      </c>
      <c r="BK174" s="34" t="s">
        <v>64</v>
      </c>
      <c r="BL174" s="31">
        <v>767</v>
      </c>
      <c r="BW174" s="31">
        <f>I174</f>
        <v>21</v>
      </c>
      <c r="BX174" s="4" t="s">
        <v>817</v>
      </c>
    </row>
    <row r="175" spans="1:76" x14ac:dyDescent="0.25">
      <c r="A175" s="35"/>
      <c r="D175" s="87" t="s">
        <v>266</v>
      </c>
      <c r="E175" s="102" t="s">
        <v>53</v>
      </c>
      <c r="F175" s="288"/>
      <c r="G175" s="289">
        <v>6</v>
      </c>
      <c r="P175" s="38"/>
      <c r="BX175" t="s">
        <v>266</v>
      </c>
    </row>
    <row r="176" spans="1:76" x14ac:dyDescent="0.25">
      <c r="A176" s="2">
        <f>A174+1</f>
        <v>61</v>
      </c>
      <c r="B176" s="3" t="s">
        <v>53</v>
      </c>
      <c r="C176" s="3" t="s">
        <v>267</v>
      </c>
      <c r="D176" s="310" t="s">
        <v>268</v>
      </c>
      <c r="E176" s="307"/>
      <c r="F176" s="3" t="s">
        <v>256</v>
      </c>
      <c r="G176" s="31">
        <v>10</v>
      </c>
      <c r="H176" s="31">
        <v>0</v>
      </c>
      <c r="I176" s="32">
        <v>21</v>
      </c>
      <c r="J176" s="31">
        <f>ROUND(G176*AO176,2)</f>
        <v>0</v>
      </c>
      <c r="K176" s="31">
        <f>ROUND(G176*AP176,2)</f>
        <v>0</v>
      </c>
      <c r="L176" s="31">
        <f>ROUND(G176*H176,2)</f>
        <v>0</v>
      </c>
      <c r="M176" s="31">
        <f>L176*(1+BW176/100)</f>
        <v>0</v>
      </c>
      <c r="N176" s="31">
        <v>5.0000000000000002E-5</v>
      </c>
      <c r="O176" s="31">
        <f>G176*N176</f>
        <v>5.0000000000000001E-4</v>
      </c>
      <c r="P176" s="33" t="s">
        <v>60</v>
      </c>
      <c r="Z176" s="31">
        <f>ROUND(IF(AQ176="5",BJ176,0),2)</f>
        <v>0</v>
      </c>
      <c r="AB176" s="31">
        <f>ROUND(IF(AQ176="1",BH176,0),2)</f>
        <v>0</v>
      </c>
      <c r="AC176" s="31">
        <f>ROUND(IF(AQ176="1",BI176,0),2)</f>
        <v>0</v>
      </c>
      <c r="AD176" s="31">
        <f>ROUND(IF(AQ176="7",BH176,0),2)</f>
        <v>0</v>
      </c>
      <c r="AE176" s="31">
        <f>ROUND(IF(AQ176="7",BI176,0),2)</f>
        <v>0</v>
      </c>
      <c r="AF176" s="31">
        <f>ROUND(IF(AQ176="2",BH176,0),2)</f>
        <v>0</v>
      </c>
      <c r="AG176" s="31">
        <f>ROUND(IF(AQ176="2",BI176,0),2)</f>
        <v>0</v>
      </c>
      <c r="AH176" s="31">
        <f>ROUND(IF(AQ176="0",BJ176,0),2)</f>
        <v>0</v>
      </c>
      <c r="AI176" s="12" t="s">
        <v>53</v>
      </c>
      <c r="AJ176" s="31">
        <f>IF(AN176=0,L176,0)</f>
        <v>0</v>
      </c>
      <c r="AK176" s="31">
        <f>IF(AN176=12,L176,0)</f>
        <v>0</v>
      </c>
      <c r="AL176" s="31">
        <f>IF(AN176=21,L176,0)</f>
        <v>0</v>
      </c>
      <c r="AN176" s="31">
        <v>21</v>
      </c>
      <c r="AO176" s="31">
        <f>H176*0.184891304</f>
        <v>0</v>
      </c>
      <c r="AP176" s="31">
        <f>H176*(1-0.184891304)</f>
        <v>0</v>
      </c>
      <c r="AQ176" s="34" t="s">
        <v>95</v>
      </c>
      <c r="AV176" s="31">
        <f>ROUND(AW176+AX176,2)</f>
        <v>0</v>
      </c>
      <c r="AW176" s="31">
        <f>ROUND(G176*AO176,2)</f>
        <v>0</v>
      </c>
      <c r="AX176" s="31">
        <f>ROUND(G176*AP176,2)</f>
        <v>0</v>
      </c>
      <c r="AY176" s="34" t="s">
        <v>251</v>
      </c>
      <c r="AZ176" s="34" t="s">
        <v>243</v>
      </c>
      <c r="BA176" s="12" t="s">
        <v>63</v>
      </c>
      <c r="BC176" s="31">
        <f>AW176+AX176</f>
        <v>0</v>
      </c>
      <c r="BD176" s="31">
        <f>H176/(100-BE176)*100</f>
        <v>0</v>
      </c>
      <c r="BE176" s="31">
        <v>0</v>
      </c>
      <c r="BF176" s="31">
        <f>O176</f>
        <v>5.0000000000000001E-4</v>
      </c>
      <c r="BH176" s="31">
        <f>G176*AO176</f>
        <v>0</v>
      </c>
      <c r="BI176" s="31">
        <f>G176*AP176</f>
        <v>0</v>
      </c>
      <c r="BJ176" s="31">
        <f>G176*H176</f>
        <v>0</v>
      </c>
      <c r="BK176" s="34" t="s">
        <v>64</v>
      </c>
      <c r="BL176" s="31">
        <v>767</v>
      </c>
      <c r="BW176" s="31">
        <f>I176</f>
        <v>21</v>
      </c>
      <c r="BX176" s="4" t="s">
        <v>268</v>
      </c>
    </row>
    <row r="177" spans="1:76" x14ac:dyDescent="0.25">
      <c r="A177" s="35"/>
      <c r="D177" s="87" t="s">
        <v>269</v>
      </c>
      <c r="E177" s="36" t="s">
        <v>53</v>
      </c>
      <c r="G177" s="37">
        <v>10</v>
      </c>
      <c r="P177" s="38"/>
      <c r="BX177" t="s">
        <v>269</v>
      </c>
    </row>
    <row r="178" spans="1:76" x14ac:dyDescent="0.25">
      <c r="A178" s="2">
        <f>A176+1</f>
        <v>62</v>
      </c>
      <c r="B178" s="3" t="s">
        <v>53</v>
      </c>
      <c r="C178" s="3" t="s">
        <v>270</v>
      </c>
      <c r="D178" s="310" t="s">
        <v>271</v>
      </c>
      <c r="E178" s="307"/>
      <c r="F178" s="3" t="s">
        <v>185</v>
      </c>
      <c r="G178" s="31">
        <v>2.4</v>
      </c>
      <c r="H178" s="31">
        <v>0</v>
      </c>
      <c r="I178" s="32">
        <v>21</v>
      </c>
      <c r="J178" s="31">
        <f>ROUND(G178*AO178,2)</f>
        <v>0</v>
      </c>
      <c r="K178" s="31">
        <f>ROUND(G178*AP178,2)</f>
        <v>0</v>
      </c>
      <c r="L178" s="31">
        <f>ROUND(G178*H178,2)</f>
        <v>0</v>
      </c>
      <c r="M178" s="31">
        <f>L178*(1+BW178/100)</f>
        <v>0</v>
      </c>
      <c r="N178" s="31">
        <v>0</v>
      </c>
      <c r="O178" s="31">
        <f>G178*N178</f>
        <v>0</v>
      </c>
      <c r="P178" s="33" t="s">
        <v>60</v>
      </c>
      <c r="Z178" s="31">
        <f>ROUND(IF(AQ178="5",BJ178,0),2)</f>
        <v>0</v>
      </c>
      <c r="AB178" s="31">
        <f>ROUND(IF(AQ178="1",BH178,0),2)</f>
        <v>0</v>
      </c>
      <c r="AC178" s="31">
        <f>ROUND(IF(AQ178="1",BI178,0),2)</f>
        <v>0</v>
      </c>
      <c r="AD178" s="31">
        <f>ROUND(IF(AQ178="7",BH178,0),2)</f>
        <v>0</v>
      </c>
      <c r="AE178" s="31">
        <f>ROUND(IF(AQ178="7",BI178,0),2)</f>
        <v>0</v>
      </c>
      <c r="AF178" s="31">
        <f>ROUND(IF(AQ178="2",BH178,0),2)</f>
        <v>0</v>
      </c>
      <c r="AG178" s="31">
        <f>ROUND(IF(AQ178="2",BI178,0),2)</f>
        <v>0</v>
      </c>
      <c r="AH178" s="31">
        <f>ROUND(IF(AQ178="0",BJ178,0),2)</f>
        <v>0</v>
      </c>
      <c r="AI178" s="12" t="s">
        <v>53</v>
      </c>
      <c r="AJ178" s="31">
        <f>IF(AN178=0,L178,0)</f>
        <v>0</v>
      </c>
      <c r="AK178" s="31">
        <f>IF(AN178=12,L178,0)</f>
        <v>0</v>
      </c>
      <c r="AL178" s="31">
        <f>IF(AN178=21,L178,0)</f>
        <v>0</v>
      </c>
      <c r="AN178" s="31">
        <v>21</v>
      </c>
      <c r="AO178" s="31">
        <f>H178*0</f>
        <v>0</v>
      </c>
      <c r="AP178" s="31">
        <f>H178*(1-0)</f>
        <v>0</v>
      </c>
      <c r="AQ178" s="34" t="s">
        <v>87</v>
      </c>
      <c r="AV178" s="31">
        <f>ROUND(AW178+AX178,2)</f>
        <v>0</v>
      </c>
      <c r="AW178" s="31">
        <f>ROUND(G178*AO178,2)</f>
        <v>0</v>
      </c>
      <c r="AX178" s="31">
        <f>ROUND(G178*AP178,2)</f>
        <v>0</v>
      </c>
      <c r="AY178" s="34" t="s">
        <v>251</v>
      </c>
      <c r="AZ178" s="34" t="s">
        <v>243</v>
      </c>
      <c r="BA178" s="12" t="s">
        <v>63</v>
      </c>
      <c r="BC178" s="31">
        <f>AW178+AX178</f>
        <v>0</v>
      </c>
      <c r="BD178" s="31">
        <f>H178/(100-BE178)*100</f>
        <v>0</v>
      </c>
      <c r="BE178" s="31">
        <v>0</v>
      </c>
      <c r="BF178" s="31">
        <f>O178</f>
        <v>0</v>
      </c>
      <c r="BH178" s="31">
        <f>G178*AO178</f>
        <v>0</v>
      </c>
      <c r="BI178" s="31">
        <f>G178*AP178</f>
        <v>0</v>
      </c>
      <c r="BJ178" s="31">
        <f>G178*H178</f>
        <v>0</v>
      </c>
      <c r="BK178" s="34" t="s">
        <v>64</v>
      </c>
      <c r="BL178" s="31">
        <v>767</v>
      </c>
      <c r="BW178" s="31">
        <f>I178</f>
        <v>21</v>
      </c>
      <c r="BX178" s="4" t="s">
        <v>271</v>
      </c>
    </row>
    <row r="179" spans="1:76" x14ac:dyDescent="0.25">
      <c r="A179" s="39" t="s">
        <v>53</v>
      </c>
      <c r="B179" s="40" t="s">
        <v>53</v>
      </c>
      <c r="C179" s="40" t="s">
        <v>272</v>
      </c>
      <c r="D179" s="375" t="s">
        <v>273</v>
      </c>
      <c r="E179" s="376"/>
      <c r="F179" s="41" t="s">
        <v>3</v>
      </c>
      <c r="G179" s="41" t="s">
        <v>3</v>
      </c>
      <c r="H179" s="41" t="s">
        <v>3</v>
      </c>
      <c r="I179" s="41" t="s">
        <v>3</v>
      </c>
      <c r="J179" s="1">
        <f>SUM(J180:J193)</f>
        <v>0</v>
      </c>
      <c r="K179" s="1">
        <f>SUM(K180:K193)</f>
        <v>0</v>
      </c>
      <c r="L179" s="1">
        <f>SUM(L180:L193)</f>
        <v>0</v>
      </c>
      <c r="M179" s="1">
        <f>SUM(M180:M193)</f>
        <v>0</v>
      </c>
      <c r="N179" s="12" t="s">
        <v>53</v>
      </c>
      <c r="O179" s="1">
        <f>SUM(O180:O193)</f>
        <v>5.4211706720000009E-2</v>
      </c>
      <c r="P179" s="42" t="s">
        <v>53</v>
      </c>
      <c r="AI179" s="12" t="s">
        <v>53</v>
      </c>
      <c r="AS179" s="1">
        <f>SUM(AJ180:AJ193)</f>
        <v>0</v>
      </c>
      <c r="AT179" s="1">
        <f>SUM(AK180:AK193)</f>
        <v>0</v>
      </c>
      <c r="AU179" s="1">
        <f>SUM(AL180:AL193)</f>
        <v>0</v>
      </c>
      <c r="BX179" t="s">
        <v>273</v>
      </c>
    </row>
    <row r="180" spans="1:76" x14ac:dyDescent="0.25">
      <c r="A180" s="2">
        <f>A178+1</f>
        <v>63</v>
      </c>
      <c r="B180" s="3" t="s">
        <v>53</v>
      </c>
      <c r="C180" s="3" t="s">
        <v>274</v>
      </c>
      <c r="D180" s="310" t="s">
        <v>1190</v>
      </c>
      <c r="E180" s="307"/>
      <c r="F180" s="3" t="s">
        <v>59</v>
      </c>
      <c r="G180" s="97">
        <v>160.28479600000003</v>
      </c>
      <c r="H180" s="31">
        <v>0</v>
      </c>
      <c r="I180" s="32">
        <v>21</v>
      </c>
      <c r="J180" s="31">
        <f>ROUND(G180*AO180,2)</f>
        <v>0</v>
      </c>
      <c r="K180" s="31">
        <f>ROUND(G180*AP180,2)</f>
        <v>0</v>
      </c>
      <c r="L180" s="31">
        <f>ROUND(G180*H180,2)</f>
        <v>0</v>
      </c>
      <c r="M180" s="31">
        <f>L180*(1+BW180/100)</f>
        <v>0</v>
      </c>
      <c r="N180" s="31">
        <v>3.2000000000000003E-4</v>
      </c>
      <c r="O180" s="31">
        <f>G180*N180</f>
        <v>5.1291134720000013E-2</v>
      </c>
      <c r="P180" s="33" t="s">
        <v>60</v>
      </c>
      <c r="Z180" s="31">
        <f>ROUND(IF(AQ180="5",BJ180,0),2)</f>
        <v>0</v>
      </c>
      <c r="AB180" s="31">
        <f>ROUND(IF(AQ180="1",BH180,0),2)</f>
        <v>0</v>
      </c>
      <c r="AC180" s="31">
        <f>ROUND(IF(AQ180="1",BI180,0),2)</f>
        <v>0</v>
      </c>
      <c r="AD180" s="31">
        <f>ROUND(IF(AQ180="7",BH180,0),2)</f>
        <v>0</v>
      </c>
      <c r="AE180" s="31">
        <f>ROUND(IF(AQ180="7",BI180,0),2)</f>
        <v>0</v>
      </c>
      <c r="AF180" s="31">
        <f>ROUND(IF(AQ180="2",BH180,0),2)</f>
        <v>0</v>
      </c>
      <c r="AG180" s="31">
        <f>ROUND(IF(AQ180="2",BI180,0),2)</f>
        <v>0</v>
      </c>
      <c r="AH180" s="31">
        <f>ROUND(IF(AQ180="0",BJ180,0),2)</f>
        <v>0</v>
      </c>
      <c r="AI180" s="12" t="s">
        <v>53</v>
      </c>
      <c r="AJ180" s="31">
        <f>IF(AN180=0,L180,0)</f>
        <v>0</v>
      </c>
      <c r="AK180" s="31">
        <f>IF(AN180=12,L180,0)</f>
        <v>0</v>
      </c>
      <c r="AL180" s="31">
        <f>IF(AN180=21,L180,0)</f>
        <v>0</v>
      </c>
      <c r="AN180" s="31">
        <v>21</v>
      </c>
      <c r="AO180" s="31">
        <f>H180*0.412923104</f>
        <v>0</v>
      </c>
      <c r="AP180" s="31">
        <f>H180*(1-0.412923104)</f>
        <v>0</v>
      </c>
      <c r="AQ180" s="34" t="s">
        <v>95</v>
      </c>
      <c r="AV180" s="31">
        <f>ROUND(AW180+AX180,2)</f>
        <v>0</v>
      </c>
      <c r="AW180" s="31">
        <f>ROUND(G180*AO180,2)</f>
        <v>0</v>
      </c>
      <c r="AX180" s="31">
        <f>ROUND(G180*AP180,2)</f>
        <v>0</v>
      </c>
      <c r="AY180" s="34" t="s">
        <v>275</v>
      </c>
      <c r="AZ180" s="34" t="s">
        <v>276</v>
      </c>
      <c r="BA180" s="12" t="s">
        <v>63</v>
      </c>
      <c r="BC180" s="31">
        <f>AW180+AX180</f>
        <v>0</v>
      </c>
      <c r="BD180" s="31">
        <f>H180/(100-BE180)*100</f>
        <v>0</v>
      </c>
      <c r="BE180" s="31">
        <v>0</v>
      </c>
      <c r="BF180" s="31">
        <f>O180</f>
        <v>5.1291134720000013E-2</v>
      </c>
      <c r="BH180" s="31">
        <f>G180*AO180</f>
        <v>0</v>
      </c>
      <c r="BI180" s="31">
        <f>G180*AP180</f>
        <v>0</v>
      </c>
      <c r="BJ180" s="31">
        <f>G180*H180</f>
        <v>0</v>
      </c>
      <c r="BK180" s="34" t="s">
        <v>64</v>
      </c>
      <c r="BL180" s="31">
        <v>783</v>
      </c>
      <c r="BW180" s="31">
        <f>I180</f>
        <v>21</v>
      </c>
      <c r="BX180" s="4" t="s">
        <v>1190</v>
      </c>
    </row>
    <row r="181" spans="1:76" x14ac:dyDescent="0.25">
      <c r="A181" s="43"/>
      <c r="B181" s="44"/>
      <c r="C181" s="44"/>
      <c r="D181" s="201" t="s">
        <v>1167</v>
      </c>
      <c r="E181" s="102" t="s">
        <v>53</v>
      </c>
      <c r="F181" s="283"/>
      <c r="G181" s="289">
        <v>80.766000000000005</v>
      </c>
      <c r="H181" s="44"/>
      <c r="I181" s="44"/>
      <c r="J181" s="44"/>
      <c r="K181" s="44"/>
      <c r="L181" s="44"/>
      <c r="M181" s="44"/>
      <c r="N181" s="44"/>
      <c r="O181" s="44"/>
      <c r="P181" s="45"/>
      <c r="BX181" t="s">
        <v>1167</v>
      </c>
    </row>
    <row r="182" spans="1:76" x14ac:dyDescent="0.25">
      <c r="A182" s="43"/>
      <c r="B182" s="44"/>
      <c r="C182" s="44"/>
      <c r="D182" s="95" t="s">
        <v>634</v>
      </c>
      <c r="E182" s="36" t="s">
        <v>53</v>
      </c>
      <c r="F182" s="44"/>
      <c r="G182" s="37">
        <v>16.758000000000003</v>
      </c>
      <c r="H182" s="44"/>
      <c r="I182" s="44"/>
      <c r="J182" s="44"/>
      <c r="K182" s="44"/>
      <c r="L182" s="44"/>
      <c r="M182" s="44"/>
      <c r="N182" s="44"/>
      <c r="O182" s="44"/>
      <c r="P182" s="45"/>
      <c r="BX182" t="s">
        <v>634</v>
      </c>
    </row>
    <row r="183" spans="1:76" x14ac:dyDescent="0.25">
      <c r="A183" s="43"/>
      <c r="B183" s="44"/>
      <c r="C183" s="44"/>
      <c r="D183" s="95" t="s">
        <v>638</v>
      </c>
      <c r="E183" s="36" t="s">
        <v>53</v>
      </c>
      <c r="F183" s="44"/>
      <c r="G183" s="37">
        <v>44.490600000000001</v>
      </c>
      <c r="H183" s="44"/>
      <c r="I183" s="44"/>
      <c r="J183" s="44"/>
      <c r="K183" s="44"/>
      <c r="L183" s="44"/>
      <c r="M183" s="44"/>
      <c r="N183" s="44"/>
      <c r="O183" s="44"/>
      <c r="P183" s="45"/>
      <c r="BX183" t="s">
        <v>638</v>
      </c>
    </row>
    <row r="184" spans="1:76" x14ac:dyDescent="0.25">
      <c r="A184" s="43"/>
      <c r="B184" s="44"/>
      <c r="C184" s="44"/>
      <c r="D184" s="95" t="s">
        <v>635</v>
      </c>
      <c r="E184" s="36" t="s">
        <v>53</v>
      </c>
      <c r="F184" s="44"/>
      <c r="G184" s="37">
        <v>4.0140000000000002</v>
      </c>
      <c r="H184" s="44"/>
      <c r="I184" s="44"/>
      <c r="J184" s="44"/>
      <c r="K184" s="44"/>
      <c r="L184" s="44"/>
      <c r="M184" s="44"/>
      <c r="N184" s="44"/>
      <c r="O184" s="44"/>
      <c r="P184" s="45"/>
      <c r="BX184" t="s">
        <v>635</v>
      </c>
    </row>
    <row r="185" spans="1:76" x14ac:dyDescent="0.25">
      <c r="A185" s="43"/>
      <c r="B185" s="44"/>
      <c r="C185" s="44"/>
      <c r="D185" s="87" t="s">
        <v>633</v>
      </c>
      <c r="E185" s="102" t="s">
        <v>53</v>
      </c>
      <c r="F185" s="283"/>
      <c r="G185" s="289">
        <v>3.6432000000000002</v>
      </c>
      <c r="H185" s="44"/>
      <c r="I185" s="44"/>
      <c r="J185" s="44"/>
      <c r="K185" s="44"/>
      <c r="L185" s="44"/>
      <c r="M185" s="44"/>
      <c r="N185" s="44"/>
      <c r="O185" s="44"/>
      <c r="P185" s="45"/>
      <c r="BX185" t="s">
        <v>633</v>
      </c>
    </row>
    <row r="186" spans="1:76" x14ac:dyDescent="0.25">
      <c r="A186" s="43"/>
      <c r="B186" s="44"/>
      <c r="C186" s="44"/>
      <c r="D186" s="87" t="s">
        <v>818</v>
      </c>
      <c r="E186" s="36" t="s">
        <v>53</v>
      </c>
      <c r="F186" s="44"/>
      <c r="G186" s="37">
        <v>6.4000999999999992</v>
      </c>
      <c r="H186" s="44"/>
      <c r="I186" s="44"/>
      <c r="J186" s="44"/>
      <c r="K186" s="44"/>
      <c r="L186" s="44"/>
      <c r="M186" s="44"/>
      <c r="N186" s="44"/>
      <c r="O186" s="44"/>
      <c r="P186" s="45"/>
      <c r="BX186" t="s">
        <v>818</v>
      </c>
    </row>
    <row r="187" spans="1:76" x14ac:dyDescent="0.25">
      <c r="A187" s="43"/>
      <c r="B187" s="44"/>
      <c r="C187" s="44"/>
      <c r="D187" s="95" t="s">
        <v>277</v>
      </c>
      <c r="E187" s="36" t="s">
        <v>53</v>
      </c>
      <c r="F187" s="44"/>
      <c r="G187" s="37">
        <v>4.2128959999999998</v>
      </c>
      <c r="H187" s="44"/>
      <c r="I187" s="44"/>
      <c r="J187" s="44"/>
      <c r="K187" s="44"/>
      <c r="L187" s="44"/>
      <c r="M187" s="44"/>
      <c r="N187" s="44"/>
      <c r="O187" s="44"/>
      <c r="P187" s="45"/>
      <c r="BX187" t="s">
        <v>277</v>
      </c>
    </row>
    <row r="188" spans="1:76" x14ac:dyDescent="0.25">
      <c r="A188" s="2">
        <f>A180+1</f>
        <v>64</v>
      </c>
      <c r="B188" s="3" t="s">
        <v>53</v>
      </c>
      <c r="C188" s="3" t="s">
        <v>278</v>
      </c>
      <c r="D188" s="310" t="s">
        <v>279</v>
      </c>
      <c r="E188" s="307"/>
      <c r="F188" s="3" t="s">
        <v>59</v>
      </c>
      <c r="G188" s="97">
        <v>146.02860000000001</v>
      </c>
      <c r="H188" s="31">
        <v>0</v>
      </c>
      <c r="I188" s="32">
        <v>21</v>
      </c>
      <c r="J188" s="31">
        <f>ROUND(G188*AO188,2)</f>
        <v>0</v>
      </c>
      <c r="K188" s="31">
        <f>ROUND(G188*AP188,2)</f>
        <v>0</v>
      </c>
      <c r="L188" s="31">
        <f>ROUND(G188*H188,2)</f>
        <v>0</v>
      </c>
      <c r="M188" s="31">
        <f>L188*(1+BW188/100)</f>
        <v>0</v>
      </c>
      <c r="N188" s="31">
        <v>1.0000000000000001E-5</v>
      </c>
      <c r="O188" s="31">
        <f>G188*N188</f>
        <v>1.4602860000000003E-3</v>
      </c>
      <c r="P188" s="33" t="s">
        <v>60</v>
      </c>
      <c r="Z188" s="31">
        <f>ROUND(IF(AQ188="5",BJ188,0),2)</f>
        <v>0</v>
      </c>
      <c r="AB188" s="31">
        <f>ROUND(IF(AQ188="1",BH188,0),2)</f>
        <v>0</v>
      </c>
      <c r="AC188" s="31">
        <f>ROUND(IF(AQ188="1",BI188,0),2)</f>
        <v>0</v>
      </c>
      <c r="AD188" s="31">
        <f>ROUND(IF(AQ188="7",BH188,0),2)</f>
        <v>0</v>
      </c>
      <c r="AE188" s="31">
        <f>ROUND(IF(AQ188="7",BI188,0),2)</f>
        <v>0</v>
      </c>
      <c r="AF188" s="31">
        <f>ROUND(IF(AQ188="2",BH188,0),2)</f>
        <v>0</v>
      </c>
      <c r="AG188" s="31">
        <f>ROUND(IF(AQ188="2",BI188,0),2)</f>
        <v>0</v>
      </c>
      <c r="AH188" s="31">
        <f>ROUND(IF(AQ188="0",BJ188,0),2)</f>
        <v>0</v>
      </c>
      <c r="AI188" s="12" t="s">
        <v>53</v>
      </c>
      <c r="AJ188" s="31">
        <f>IF(AN188=0,L188,0)</f>
        <v>0</v>
      </c>
      <c r="AK188" s="31">
        <f>IF(AN188=12,L188,0)</f>
        <v>0</v>
      </c>
      <c r="AL188" s="31">
        <f>IF(AN188=21,L188,0)</f>
        <v>0</v>
      </c>
      <c r="AN188" s="31">
        <v>21</v>
      </c>
      <c r="AO188" s="31">
        <f>H188*0.061277427</f>
        <v>0</v>
      </c>
      <c r="AP188" s="31">
        <f>H188*(1-0.061277427)</f>
        <v>0</v>
      </c>
      <c r="AQ188" s="34" t="s">
        <v>95</v>
      </c>
      <c r="AV188" s="31">
        <f>ROUND(AW188+AX188,2)</f>
        <v>0</v>
      </c>
      <c r="AW188" s="31">
        <f>ROUND(G188*AO188,2)</f>
        <v>0</v>
      </c>
      <c r="AX188" s="31">
        <f>ROUND(G188*AP188,2)</f>
        <v>0</v>
      </c>
      <c r="AY188" s="34" t="s">
        <v>275</v>
      </c>
      <c r="AZ188" s="34" t="s">
        <v>276</v>
      </c>
      <c r="BA188" s="12" t="s">
        <v>63</v>
      </c>
      <c r="BC188" s="31">
        <f>AW188+AX188</f>
        <v>0</v>
      </c>
      <c r="BD188" s="31">
        <f>H188/(100-BE188)*100</f>
        <v>0</v>
      </c>
      <c r="BE188" s="31">
        <v>0</v>
      </c>
      <c r="BF188" s="31">
        <f>O188</f>
        <v>1.4602860000000003E-3</v>
      </c>
      <c r="BH188" s="31">
        <f>G188*AO188</f>
        <v>0</v>
      </c>
      <c r="BI188" s="31">
        <f>G188*AP188</f>
        <v>0</v>
      </c>
      <c r="BJ188" s="31">
        <f>G188*H188</f>
        <v>0</v>
      </c>
      <c r="BK188" s="34" t="s">
        <v>64</v>
      </c>
      <c r="BL188" s="31">
        <v>783</v>
      </c>
      <c r="BW188" s="31">
        <f>I188</f>
        <v>21</v>
      </c>
      <c r="BX188" s="4" t="s">
        <v>279</v>
      </c>
    </row>
    <row r="189" spans="1:76" x14ac:dyDescent="0.25">
      <c r="A189" s="43"/>
      <c r="B189" s="44"/>
      <c r="C189" s="44"/>
      <c r="D189" s="201" t="s">
        <v>1167</v>
      </c>
      <c r="E189" s="102" t="s">
        <v>53</v>
      </c>
      <c r="F189" s="283"/>
      <c r="G189" s="97">
        <v>80.766000000000005</v>
      </c>
      <c r="H189" s="44"/>
      <c r="I189" s="44"/>
      <c r="J189" s="44"/>
      <c r="K189" s="44"/>
      <c r="L189" s="44"/>
      <c r="M189" s="44"/>
      <c r="N189" s="44"/>
      <c r="O189" s="44"/>
      <c r="P189" s="45"/>
      <c r="BX189" t="s">
        <v>1167</v>
      </c>
    </row>
    <row r="190" spans="1:76" x14ac:dyDescent="0.25">
      <c r="A190" s="103"/>
      <c r="B190" s="104"/>
      <c r="C190" s="104"/>
      <c r="D190" s="95" t="s">
        <v>634</v>
      </c>
      <c r="E190" s="92"/>
      <c r="F190" s="104"/>
      <c r="G190" s="97">
        <v>16.758000000000003</v>
      </c>
      <c r="H190" s="104"/>
      <c r="I190" s="104"/>
      <c r="J190" s="104"/>
      <c r="K190" s="104"/>
      <c r="L190" s="104"/>
      <c r="M190" s="104"/>
      <c r="N190" s="104"/>
      <c r="O190" s="104"/>
      <c r="P190" s="105"/>
      <c r="BX190" t="s">
        <v>634</v>
      </c>
    </row>
    <row r="191" spans="1:76" x14ac:dyDescent="0.25">
      <c r="A191" s="103"/>
      <c r="B191" s="104"/>
      <c r="C191" s="104"/>
      <c r="D191" s="95" t="s">
        <v>638</v>
      </c>
      <c r="E191" s="92"/>
      <c r="F191" s="104"/>
      <c r="G191" s="97">
        <v>44.490600000000001</v>
      </c>
      <c r="H191" s="104"/>
      <c r="I191" s="104"/>
      <c r="J191" s="104"/>
      <c r="K191" s="104"/>
      <c r="L191" s="104"/>
      <c r="M191" s="104"/>
      <c r="N191" s="104"/>
      <c r="O191" s="104"/>
      <c r="P191" s="105"/>
      <c r="BX191" t="s">
        <v>638</v>
      </c>
    </row>
    <row r="192" spans="1:76" x14ac:dyDescent="0.25">
      <c r="A192" s="103"/>
      <c r="B192" s="104"/>
      <c r="C192" s="104"/>
      <c r="D192" s="95" t="s">
        <v>635</v>
      </c>
      <c r="E192" s="92"/>
      <c r="F192" s="104"/>
      <c r="G192" s="97">
        <v>4.0140000000000002</v>
      </c>
      <c r="H192" s="104"/>
      <c r="I192" s="104"/>
      <c r="J192" s="104"/>
      <c r="K192" s="104"/>
      <c r="L192" s="104"/>
      <c r="M192" s="104"/>
      <c r="N192" s="104"/>
      <c r="O192" s="104"/>
      <c r="P192" s="105"/>
      <c r="BX192" t="s">
        <v>635</v>
      </c>
    </row>
    <row r="193" spans="1:76" x14ac:dyDescent="0.25">
      <c r="A193" s="2">
        <f>A188+1</f>
        <v>65</v>
      </c>
      <c r="B193" s="3" t="s">
        <v>53</v>
      </c>
      <c r="C193" s="3" t="s">
        <v>280</v>
      </c>
      <c r="D193" s="310" t="s">
        <v>281</v>
      </c>
      <c r="E193" s="307"/>
      <c r="F193" s="3" t="s">
        <v>59</v>
      </c>
      <c r="G193" s="97">
        <v>146.02860000000001</v>
      </c>
      <c r="H193" s="31">
        <v>0</v>
      </c>
      <c r="I193" s="32">
        <v>21</v>
      </c>
      <c r="J193" s="31">
        <f>ROUND(G193*AO193,2)</f>
        <v>0</v>
      </c>
      <c r="K193" s="31">
        <f>ROUND(G193*AP193,2)</f>
        <v>0</v>
      </c>
      <c r="L193" s="31">
        <f>ROUND(G193*H193,2)</f>
        <v>0</v>
      </c>
      <c r="M193" s="31">
        <f>L193*(1+BW193/100)</f>
        <v>0</v>
      </c>
      <c r="N193" s="31">
        <v>1.0000000000000001E-5</v>
      </c>
      <c r="O193" s="31">
        <f>G193*N193</f>
        <v>1.4602860000000003E-3</v>
      </c>
      <c r="P193" s="33" t="s">
        <v>60</v>
      </c>
      <c r="Z193" s="31">
        <f>ROUND(IF(AQ193="5",BJ193,0),2)</f>
        <v>0</v>
      </c>
      <c r="AB193" s="31">
        <f>ROUND(IF(AQ193="1",BH193,0),2)</f>
        <v>0</v>
      </c>
      <c r="AC193" s="31">
        <f>ROUND(IF(AQ193="1",BI193,0),2)</f>
        <v>0</v>
      </c>
      <c r="AD193" s="31">
        <f>ROUND(IF(AQ193="7",BH193,0),2)</f>
        <v>0</v>
      </c>
      <c r="AE193" s="31">
        <f>ROUND(IF(AQ193="7",BI193,0),2)</f>
        <v>0</v>
      </c>
      <c r="AF193" s="31">
        <f>ROUND(IF(AQ193="2",BH193,0),2)</f>
        <v>0</v>
      </c>
      <c r="AG193" s="31">
        <f>ROUND(IF(AQ193="2",BI193,0),2)</f>
        <v>0</v>
      </c>
      <c r="AH193" s="31">
        <f>ROUND(IF(AQ193="0",BJ193,0),2)</f>
        <v>0</v>
      </c>
      <c r="AI193" s="12" t="s">
        <v>53</v>
      </c>
      <c r="AJ193" s="31">
        <f>IF(AN193=0,L193,0)</f>
        <v>0</v>
      </c>
      <c r="AK193" s="31">
        <f>IF(AN193=12,L193,0)</f>
        <v>0</v>
      </c>
      <c r="AL193" s="31">
        <f>IF(AN193=21,L193,0)</f>
        <v>0</v>
      </c>
      <c r="AN193" s="31">
        <v>21</v>
      </c>
      <c r="AO193" s="31">
        <f>H193*0.049774349</f>
        <v>0</v>
      </c>
      <c r="AP193" s="31">
        <f>H193*(1-0.049774349)</f>
        <v>0</v>
      </c>
      <c r="AQ193" s="34" t="s">
        <v>95</v>
      </c>
      <c r="AV193" s="31">
        <f>ROUND(AW193+AX193,2)</f>
        <v>0</v>
      </c>
      <c r="AW193" s="31">
        <f>ROUND(G193*AO193,2)</f>
        <v>0</v>
      </c>
      <c r="AX193" s="31">
        <f>ROUND(G193*AP193,2)</f>
        <v>0</v>
      </c>
      <c r="AY193" s="34" t="s">
        <v>275</v>
      </c>
      <c r="AZ193" s="34" t="s">
        <v>276</v>
      </c>
      <c r="BA193" s="12" t="s">
        <v>63</v>
      </c>
      <c r="BC193" s="31">
        <f>AW193+AX193</f>
        <v>0</v>
      </c>
      <c r="BD193" s="31">
        <f>H193/(100-BE193)*100</f>
        <v>0</v>
      </c>
      <c r="BE193" s="31">
        <v>0</v>
      </c>
      <c r="BF193" s="31">
        <f>O193</f>
        <v>1.4602860000000003E-3</v>
      </c>
      <c r="BH193" s="31">
        <f>G193*AO193</f>
        <v>0</v>
      </c>
      <c r="BI193" s="31">
        <f>G193*AP193</f>
        <v>0</v>
      </c>
      <c r="BJ193" s="31">
        <f>G193*H193</f>
        <v>0</v>
      </c>
      <c r="BK193" s="34" t="s">
        <v>64</v>
      </c>
      <c r="BL193" s="31">
        <v>783</v>
      </c>
      <c r="BW193" s="31">
        <f>I193</f>
        <v>21</v>
      </c>
      <c r="BX193" s="4" t="s">
        <v>281</v>
      </c>
    </row>
    <row r="194" spans="1:76" x14ac:dyDescent="0.25">
      <c r="A194" s="43"/>
      <c r="B194" s="44"/>
      <c r="C194" s="44"/>
      <c r="D194" s="201" t="s">
        <v>1167</v>
      </c>
      <c r="E194" s="102" t="s">
        <v>53</v>
      </c>
      <c r="F194" s="283"/>
      <c r="G194" s="97">
        <v>80.766000000000005</v>
      </c>
      <c r="H194" s="44"/>
      <c r="I194" s="44"/>
      <c r="J194" s="44"/>
      <c r="K194" s="44"/>
      <c r="L194" s="44"/>
      <c r="M194" s="44"/>
      <c r="N194" s="44"/>
      <c r="O194" s="44"/>
      <c r="P194" s="45"/>
      <c r="BX194" t="s">
        <v>1167</v>
      </c>
    </row>
    <row r="195" spans="1:76" x14ac:dyDescent="0.25">
      <c r="A195" s="103"/>
      <c r="B195" s="104"/>
      <c r="C195" s="104"/>
      <c r="D195" s="95" t="s">
        <v>634</v>
      </c>
      <c r="E195" s="92"/>
      <c r="F195" s="104"/>
      <c r="G195" s="97">
        <v>16.758000000000003</v>
      </c>
      <c r="H195" s="104"/>
      <c r="I195" s="104"/>
      <c r="J195" s="104"/>
      <c r="K195" s="104"/>
      <c r="L195" s="104"/>
      <c r="M195" s="104"/>
      <c r="N195" s="104"/>
      <c r="O195" s="104"/>
      <c r="P195" s="105"/>
      <c r="BX195" t="s">
        <v>634</v>
      </c>
    </row>
    <row r="196" spans="1:76" x14ac:dyDescent="0.25">
      <c r="A196" s="103"/>
      <c r="B196" s="104"/>
      <c r="C196" s="104"/>
      <c r="D196" s="95" t="s">
        <v>638</v>
      </c>
      <c r="E196" s="92"/>
      <c r="F196" s="104"/>
      <c r="G196" s="97">
        <v>44.490600000000001</v>
      </c>
      <c r="H196" s="104"/>
      <c r="I196" s="104"/>
      <c r="J196" s="104"/>
      <c r="K196" s="104"/>
      <c r="L196" s="104"/>
      <c r="M196" s="104"/>
      <c r="N196" s="104"/>
      <c r="O196" s="104"/>
      <c r="P196" s="105"/>
      <c r="BX196" t="s">
        <v>638</v>
      </c>
    </row>
    <row r="197" spans="1:76" x14ac:dyDescent="0.25">
      <c r="A197" s="43"/>
      <c r="B197" s="44"/>
      <c r="C197" s="44"/>
      <c r="D197" s="95" t="s">
        <v>635</v>
      </c>
      <c r="E197" s="36"/>
      <c r="F197" s="44"/>
      <c r="G197" s="97">
        <v>4.0140000000000002</v>
      </c>
      <c r="H197" s="44"/>
      <c r="I197" s="44"/>
      <c r="J197" s="44"/>
      <c r="K197" s="44"/>
      <c r="L197" s="44"/>
      <c r="M197" s="44"/>
      <c r="N197" s="44"/>
      <c r="O197" s="44"/>
      <c r="P197" s="45"/>
      <c r="BX197" t="s">
        <v>635</v>
      </c>
    </row>
    <row r="198" spans="1:76" x14ac:dyDescent="0.25">
      <c r="A198" s="39" t="s">
        <v>53</v>
      </c>
      <c r="B198" s="40" t="s">
        <v>53</v>
      </c>
      <c r="C198" s="40" t="s">
        <v>282</v>
      </c>
      <c r="D198" s="375" t="s">
        <v>283</v>
      </c>
      <c r="E198" s="376"/>
      <c r="F198" s="41" t="s">
        <v>3</v>
      </c>
      <c r="G198" s="41" t="s">
        <v>3</v>
      </c>
      <c r="H198" s="41" t="s">
        <v>3</v>
      </c>
      <c r="I198" s="41" t="s">
        <v>3</v>
      </c>
      <c r="J198" s="1">
        <f>SUM(J199:J199)</f>
        <v>0</v>
      </c>
      <c r="K198" s="1">
        <f>SUM(K199:K199)</f>
        <v>0</v>
      </c>
      <c r="L198" s="1">
        <f>SUM(L199:L199)</f>
        <v>0</v>
      </c>
      <c r="M198" s="1">
        <f>SUM(M199:M199)</f>
        <v>0</v>
      </c>
      <c r="N198" s="12" t="s">
        <v>53</v>
      </c>
      <c r="O198" s="1">
        <f>SUM(O199:O199)</f>
        <v>9.5240000000000005E-2</v>
      </c>
      <c r="P198" s="42" t="s">
        <v>53</v>
      </c>
      <c r="AI198" s="12" t="s">
        <v>53</v>
      </c>
      <c r="AS198" s="1">
        <f>SUM(AJ199:AJ199)</f>
        <v>0</v>
      </c>
      <c r="AT198" s="1">
        <f>SUM(AK199:AK199)</f>
        <v>0</v>
      </c>
      <c r="AU198" s="1">
        <f>SUM(AL199:AL199)</f>
        <v>0</v>
      </c>
      <c r="BX198" t="s">
        <v>283</v>
      </c>
    </row>
    <row r="199" spans="1:76" x14ac:dyDescent="0.25">
      <c r="A199" s="2">
        <f>A193+1</f>
        <v>66</v>
      </c>
      <c r="B199" s="3" t="s">
        <v>53</v>
      </c>
      <c r="C199" s="3" t="s">
        <v>284</v>
      </c>
      <c r="D199" s="310" t="s">
        <v>285</v>
      </c>
      <c r="E199" s="307"/>
      <c r="F199" s="3" t="s">
        <v>134</v>
      </c>
      <c r="G199" s="31">
        <v>2</v>
      </c>
      <c r="H199" s="31">
        <v>0</v>
      </c>
      <c r="I199" s="32">
        <v>21</v>
      </c>
      <c r="J199" s="31">
        <f>ROUND(G199*AO199,2)</f>
        <v>0</v>
      </c>
      <c r="K199" s="31">
        <f>ROUND(G199*AP199,2)</f>
        <v>0</v>
      </c>
      <c r="L199" s="31">
        <f>ROUND(G199*H199,2)</f>
        <v>0</v>
      </c>
      <c r="M199" s="31">
        <f>L199*(1+BW199/100)</f>
        <v>0</v>
      </c>
      <c r="N199" s="31">
        <v>4.7620000000000003E-2</v>
      </c>
      <c r="O199" s="31">
        <f>G199*N199</f>
        <v>9.5240000000000005E-2</v>
      </c>
      <c r="P199" s="33" t="s">
        <v>60</v>
      </c>
      <c r="Z199" s="31">
        <f>ROUND(IF(AQ199="5",BJ199,0),2)</f>
        <v>0</v>
      </c>
      <c r="AB199" s="31">
        <f>ROUND(IF(AQ199="1",BH199,0),2)</f>
        <v>0</v>
      </c>
      <c r="AC199" s="31">
        <f>ROUND(IF(AQ199="1",BI199,0),2)</f>
        <v>0</v>
      </c>
      <c r="AD199" s="31">
        <f>ROUND(IF(AQ199="7",BH199,0),2)</f>
        <v>0</v>
      </c>
      <c r="AE199" s="31">
        <f>ROUND(IF(AQ199="7",BI199,0),2)</f>
        <v>0</v>
      </c>
      <c r="AF199" s="31">
        <f>ROUND(IF(AQ199="2",BH199,0),2)</f>
        <v>0</v>
      </c>
      <c r="AG199" s="31">
        <f>ROUND(IF(AQ199="2",BI199,0),2)</f>
        <v>0</v>
      </c>
      <c r="AH199" s="31">
        <f>ROUND(IF(AQ199="0",BJ199,0),2)</f>
        <v>0</v>
      </c>
      <c r="AI199" s="12" t="s">
        <v>53</v>
      </c>
      <c r="AJ199" s="31">
        <f>IF(AN199=0,L199,0)</f>
        <v>0</v>
      </c>
      <c r="AK199" s="31">
        <f>IF(AN199=12,L199,0)</f>
        <v>0</v>
      </c>
      <c r="AL199" s="31">
        <f>IF(AN199=21,L199,0)</f>
        <v>0</v>
      </c>
      <c r="AN199" s="31">
        <v>21</v>
      </c>
      <c r="AO199" s="31">
        <f>H199*0.897117939</f>
        <v>0</v>
      </c>
      <c r="AP199" s="31">
        <f>H199*(1-0.897117939)</f>
        <v>0</v>
      </c>
      <c r="AQ199" s="34" t="s">
        <v>56</v>
      </c>
      <c r="AV199" s="31">
        <f>ROUND(AW199+AX199,2)</f>
        <v>0</v>
      </c>
      <c r="AW199" s="31">
        <f>ROUND(G199*AO199,2)</f>
        <v>0</v>
      </c>
      <c r="AX199" s="31">
        <f>ROUND(G199*AP199,2)</f>
        <v>0</v>
      </c>
      <c r="AY199" s="34" t="s">
        <v>286</v>
      </c>
      <c r="AZ199" s="34" t="s">
        <v>287</v>
      </c>
      <c r="BA199" s="12" t="s">
        <v>63</v>
      </c>
      <c r="BC199" s="31">
        <f>AW199+AX199</f>
        <v>0</v>
      </c>
      <c r="BD199" s="31">
        <f>H199/(100-BE199)*100</f>
        <v>0</v>
      </c>
      <c r="BE199" s="31">
        <v>0</v>
      </c>
      <c r="BF199" s="31">
        <f>O199</f>
        <v>9.5240000000000005E-2</v>
      </c>
      <c r="BH199" s="31">
        <f>G199*AO199</f>
        <v>0</v>
      </c>
      <c r="BI199" s="31">
        <f>G199*AP199</f>
        <v>0</v>
      </c>
      <c r="BJ199" s="31">
        <f>G199*H199</f>
        <v>0</v>
      </c>
      <c r="BK199" s="34" t="s">
        <v>64</v>
      </c>
      <c r="BL199" s="31">
        <v>89</v>
      </c>
      <c r="BW199" s="31">
        <f>I199</f>
        <v>21</v>
      </c>
      <c r="BX199" s="4" t="s">
        <v>285</v>
      </c>
    </row>
    <row r="200" spans="1:76" x14ac:dyDescent="0.25">
      <c r="A200" s="35"/>
      <c r="D200" s="87" t="s">
        <v>288</v>
      </c>
      <c r="E200" s="36" t="s">
        <v>53</v>
      </c>
      <c r="G200" s="37">
        <v>2</v>
      </c>
      <c r="P200" s="38"/>
      <c r="BX200" t="s">
        <v>288</v>
      </c>
    </row>
    <row r="201" spans="1:76" x14ac:dyDescent="0.25">
      <c r="A201" s="39" t="s">
        <v>53</v>
      </c>
      <c r="B201" s="40" t="s">
        <v>53</v>
      </c>
      <c r="C201" s="40" t="s">
        <v>289</v>
      </c>
      <c r="D201" s="375" t="s">
        <v>290</v>
      </c>
      <c r="E201" s="376"/>
      <c r="F201" s="41" t="s">
        <v>3</v>
      </c>
      <c r="G201" s="41" t="s">
        <v>3</v>
      </c>
      <c r="H201" s="41" t="s">
        <v>3</v>
      </c>
      <c r="I201" s="41" t="s">
        <v>3</v>
      </c>
      <c r="J201" s="1">
        <f>SUM(J202:J206)</f>
        <v>0</v>
      </c>
      <c r="K201" s="1">
        <f>SUM(K202:K206)</f>
        <v>0</v>
      </c>
      <c r="L201" s="1">
        <f>SUM(L202:L206)</f>
        <v>0</v>
      </c>
      <c r="M201" s="1">
        <f>SUM(M202:M206)</f>
        <v>0</v>
      </c>
      <c r="N201" s="12" t="s">
        <v>53</v>
      </c>
      <c r="O201" s="1">
        <f>SUM(O202:O206)</f>
        <v>0</v>
      </c>
      <c r="P201" s="42" t="s">
        <v>53</v>
      </c>
      <c r="AI201" s="12" t="s">
        <v>53</v>
      </c>
      <c r="AS201" s="1">
        <f>SUM(AJ202:AJ206)</f>
        <v>0</v>
      </c>
      <c r="AT201" s="1">
        <f>SUM(AK202:AK206)</f>
        <v>0</v>
      </c>
      <c r="AU201" s="1">
        <f>SUM(AL202:AL206)</f>
        <v>0</v>
      </c>
      <c r="BX201" t="s">
        <v>290</v>
      </c>
    </row>
    <row r="202" spans="1:76" x14ac:dyDescent="0.25">
      <c r="A202" s="2">
        <f>A199+1</f>
        <v>67</v>
      </c>
      <c r="B202" s="3" t="s">
        <v>53</v>
      </c>
      <c r="C202" s="3" t="s">
        <v>291</v>
      </c>
      <c r="D202" s="310" t="s">
        <v>292</v>
      </c>
      <c r="E202" s="307"/>
      <c r="F202" s="3" t="s">
        <v>293</v>
      </c>
      <c r="G202" s="31">
        <v>144</v>
      </c>
      <c r="H202" s="31">
        <v>0</v>
      </c>
      <c r="I202" s="32">
        <v>21</v>
      </c>
      <c r="J202" s="31">
        <f>ROUND(G202*AO202,2)</f>
        <v>0</v>
      </c>
      <c r="K202" s="31">
        <f>ROUND(G202*AP202,2)</f>
        <v>0</v>
      </c>
      <c r="L202" s="31">
        <f>ROUND(G202*H202,2)</f>
        <v>0</v>
      </c>
      <c r="M202" s="31">
        <f>L202*(1+BW202/100)</f>
        <v>0</v>
      </c>
      <c r="N202" s="31">
        <v>0</v>
      </c>
      <c r="O202" s="31">
        <f>G202*N202</f>
        <v>0</v>
      </c>
      <c r="P202" s="33" t="s">
        <v>60</v>
      </c>
      <c r="Z202" s="31">
        <f>ROUND(IF(AQ202="5",BJ202,0),2)</f>
        <v>0</v>
      </c>
      <c r="AB202" s="31">
        <f>ROUND(IF(AQ202="1",BH202,0),2)</f>
        <v>0</v>
      </c>
      <c r="AC202" s="31">
        <f>ROUND(IF(AQ202="1",BI202,0),2)</f>
        <v>0</v>
      </c>
      <c r="AD202" s="31">
        <f>ROUND(IF(AQ202="7",BH202,0),2)</f>
        <v>0</v>
      </c>
      <c r="AE202" s="31">
        <f>ROUND(IF(AQ202="7",BI202,0),2)</f>
        <v>0</v>
      </c>
      <c r="AF202" s="31">
        <f>ROUND(IF(AQ202="2",BH202,0),2)</f>
        <v>0</v>
      </c>
      <c r="AG202" s="31">
        <f>ROUND(IF(AQ202="2",BI202,0),2)</f>
        <v>0</v>
      </c>
      <c r="AH202" s="31">
        <f>ROUND(IF(AQ202="0",BJ202,0),2)</f>
        <v>0</v>
      </c>
      <c r="AI202" s="12" t="s">
        <v>53</v>
      </c>
      <c r="AJ202" s="31">
        <f>IF(AN202=0,L202,0)</f>
        <v>0</v>
      </c>
      <c r="AK202" s="31">
        <f>IF(AN202=12,L202,0)</f>
        <v>0</v>
      </c>
      <c r="AL202" s="31">
        <f>IF(AN202=21,L202,0)</f>
        <v>0</v>
      </c>
      <c r="AN202" s="31">
        <v>21</v>
      </c>
      <c r="AO202" s="31">
        <f>H202*0</f>
        <v>0</v>
      </c>
      <c r="AP202" s="31">
        <f>H202*(1-0)</f>
        <v>0</v>
      </c>
      <c r="AQ202" s="34" t="s">
        <v>56</v>
      </c>
      <c r="AV202" s="31">
        <f>ROUND(AW202+AX202,2)</f>
        <v>0</v>
      </c>
      <c r="AW202" s="31">
        <f>ROUND(G202*AO202,2)</f>
        <v>0</v>
      </c>
      <c r="AX202" s="31">
        <f>ROUND(G202*AP202,2)</f>
        <v>0</v>
      </c>
      <c r="AY202" s="34" t="s">
        <v>294</v>
      </c>
      <c r="AZ202" s="34" t="s">
        <v>295</v>
      </c>
      <c r="BA202" s="12" t="s">
        <v>63</v>
      </c>
      <c r="BC202" s="31">
        <f>AW202+AX202</f>
        <v>0</v>
      </c>
      <c r="BD202" s="31">
        <f>H202/(100-BE202)*100</f>
        <v>0</v>
      </c>
      <c r="BE202" s="31">
        <v>0</v>
      </c>
      <c r="BF202" s="31">
        <f>O202</f>
        <v>0</v>
      </c>
      <c r="BH202" s="31">
        <f>G202*AO202</f>
        <v>0</v>
      </c>
      <c r="BI202" s="31">
        <f>G202*AP202</f>
        <v>0</v>
      </c>
      <c r="BJ202" s="31">
        <f>G202*H202</f>
        <v>0</v>
      </c>
      <c r="BK202" s="34" t="s">
        <v>64</v>
      </c>
      <c r="BL202" s="31">
        <v>90</v>
      </c>
      <c r="BW202" s="31">
        <f>I202</f>
        <v>21</v>
      </c>
      <c r="BX202" s="4" t="s">
        <v>292</v>
      </c>
    </row>
    <row r="203" spans="1:76" x14ac:dyDescent="0.25">
      <c r="A203" s="43"/>
      <c r="B203" s="44"/>
      <c r="C203" s="44"/>
      <c r="D203" s="87" t="s">
        <v>296</v>
      </c>
      <c r="E203" s="36" t="s">
        <v>53</v>
      </c>
      <c r="F203" s="44"/>
      <c r="G203" s="37">
        <v>72</v>
      </c>
      <c r="H203" s="44"/>
      <c r="I203" s="44"/>
      <c r="J203" s="44"/>
      <c r="K203" s="44"/>
      <c r="L203" s="44"/>
      <c r="M203" s="44"/>
      <c r="N203" s="44"/>
      <c r="O203" s="44"/>
      <c r="P203" s="45"/>
      <c r="BX203" t="s">
        <v>296</v>
      </c>
    </row>
    <row r="204" spans="1:76" x14ac:dyDescent="0.25">
      <c r="A204" s="43"/>
      <c r="B204" s="44"/>
      <c r="C204" s="44"/>
      <c r="D204" s="87" t="s">
        <v>297</v>
      </c>
      <c r="E204" s="36" t="s">
        <v>53</v>
      </c>
      <c r="F204" s="44"/>
      <c r="G204" s="37">
        <v>72</v>
      </c>
      <c r="H204" s="44"/>
      <c r="I204" s="44"/>
      <c r="J204" s="44"/>
      <c r="K204" s="44"/>
      <c r="L204" s="44"/>
      <c r="M204" s="44"/>
      <c r="N204" s="44"/>
      <c r="O204" s="44"/>
      <c r="P204" s="45"/>
      <c r="BX204" t="s">
        <v>297</v>
      </c>
    </row>
    <row r="205" spans="1:76" x14ac:dyDescent="0.25">
      <c r="A205" s="2">
        <f>A202+1</f>
        <v>68</v>
      </c>
      <c r="B205" s="3" t="s">
        <v>53</v>
      </c>
      <c r="C205" s="3" t="s">
        <v>298</v>
      </c>
      <c r="D205" s="310" t="s">
        <v>299</v>
      </c>
      <c r="E205" s="307"/>
      <c r="F205" s="3" t="s">
        <v>293</v>
      </c>
      <c r="G205" s="31">
        <v>4</v>
      </c>
      <c r="H205" s="31">
        <v>0</v>
      </c>
      <c r="I205" s="32">
        <v>21</v>
      </c>
      <c r="J205" s="31">
        <f>ROUND(G205*AO205,2)</f>
        <v>0</v>
      </c>
      <c r="K205" s="31">
        <f>ROUND(G205*AP205,2)</f>
        <v>0</v>
      </c>
      <c r="L205" s="31">
        <f>ROUND(G205*H205,2)</f>
        <v>0</v>
      </c>
      <c r="M205" s="31">
        <f>L205*(1+BW205/100)</f>
        <v>0</v>
      </c>
      <c r="N205" s="31">
        <v>0</v>
      </c>
      <c r="O205" s="31">
        <f>G205*N205</f>
        <v>0</v>
      </c>
      <c r="P205" s="33" t="s">
        <v>60</v>
      </c>
      <c r="Z205" s="31">
        <f>ROUND(IF(AQ205="5",BJ205,0),2)</f>
        <v>0</v>
      </c>
      <c r="AB205" s="31">
        <f>ROUND(IF(AQ205="1",BH205,0),2)</f>
        <v>0</v>
      </c>
      <c r="AC205" s="31">
        <f>ROUND(IF(AQ205="1",BI205,0),2)</f>
        <v>0</v>
      </c>
      <c r="AD205" s="31">
        <f>ROUND(IF(AQ205="7",BH205,0),2)</f>
        <v>0</v>
      </c>
      <c r="AE205" s="31">
        <f>ROUND(IF(AQ205="7",BI205,0),2)</f>
        <v>0</v>
      </c>
      <c r="AF205" s="31">
        <f>ROUND(IF(AQ205="2",BH205,0),2)</f>
        <v>0</v>
      </c>
      <c r="AG205" s="31">
        <f>ROUND(IF(AQ205="2",BI205,0),2)</f>
        <v>0</v>
      </c>
      <c r="AH205" s="31">
        <f>ROUND(IF(AQ205="0",BJ205,0),2)</f>
        <v>0</v>
      </c>
      <c r="AI205" s="12" t="s">
        <v>53</v>
      </c>
      <c r="AJ205" s="31">
        <f>IF(AN205=0,L205,0)</f>
        <v>0</v>
      </c>
      <c r="AK205" s="31">
        <f>IF(AN205=12,L205,0)</f>
        <v>0</v>
      </c>
      <c r="AL205" s="31">
        <f>IF(AN205=21,L205,0)</f>
        <v>0</v>
      </c>
      <c r="AN205" s="31">
        <v>21</v>
      </c>
      <c r="AO205" s="31">
        <f>H205*0</f>
        <v>0</v>
      </c>
      <c r="AP205" s="31">
        <f>H205*(1-0)</f>
        <v>0</v>
      </c>
      <c r="AQ205" s="34" t="s">
        <v>56</v>
      </c>
      <c r="AV205" s="31">
        <f>ROUND(AW205+AX205,2)</f>
        <v>0</v>
      </c>
      <c r="AW205" s="31">
        <f>ROUND(G205*AO205,2)</f>
        <v>0</v>
      </c>
      <c r="AX205" s="31">
        <f>ROUND(G205*AP205,2)</f>
        <v>0</v>
      </c>
      <c r="AY205" s="34" t="s">
        <v>294</v>
      </c>
      <c r="AZ205" s="34" t="s">
        <v>295</v>
      </c>
      <c r="BA205" s="12" t="s">
        <v>63</v>
      </c>
      <c r="BC205" s="31">
        <f>AW205+AX205</f>
        <v>0</v>
      </c>
      <c r="BD205" s="31">
        <f>H205/(100-BE205)*100</f>
        <v>0</v>
      </c>
      <c r="BE205" s="31">
        <v>0</v>
      </c>
      <c r="BF205" s="31">
        <f>O205</f>
        <v>0</v>
      </c>
      <c r="BH205" s="31">
        <f>G205*AO205</f>
        <v>0</v>
      </c>
      <c r="BI205" s="31">
        <f>G205*AP205</f>
        <v>0</v>
      </c>
      <c r="BJ205" s="31">
        <f>G205*H205</f>
        <v>0</v>
      </c>
      <c r="BK205" s="34" t="s">
        <v>64</v>
      </c>
      <c r="BL205" s="31">
        <v>90</v>
      </c>
      <c r="BW205" s="31">
        <f>I205</f>
        <v>21</v>
      </c>
      <c r="BX205" s="4" t="s">
        <v>299</v>
      </c>
    </row>
    <row r="206" spans="1:76" ht="27" customHeight="1" x14ac:dyDescent="0.25">
      <c r="A206" s="2">
        <f>A205+1</f>
        <v>69</v>
      </c>
      <c r="B206" s="3" t="s">
        <v>53</v>
      </c>
      <c r="C206" s="3" t="s">
        <v>300</v>
      </c>
      <c r="D206" s="310" t="s">
        <v>301</v>
      </c>
      <c r="E206" s="307"/>
      <c r="F206" s="3" t="s">
        <v>293</v>
      </c>
      <c r="G206" s="31">
        <v>16</v>
      </c>
      <c r="H206" s="31">
        <v>0</v>
      </c>
      <c r="I206" s="32">
        <v>21</v>
      </c>
      <c r="J206" s="31">
        <f>ROUND(G206*AO206,2)</f>
        <v>0</v>
      </c>
      <c r="K206" s="31">
        <f>ROUND(G206*AP206,2)</f>
        <v>0</v>
      </c>
      <c r="L206" s="31">
        <f>ROUND(G206*H206,2)</f>
        <v>0</v>
      </c>
      <c r="M206" s="31">
        <f>L206*(1+BW206/100)</f>
        <v>0</v>
      </c>
      <c r="N206" s="31">
        <v>0</v>
      </c>
      <c r="O206" s="31">
        <f>G206*N206</f>
        <v>0</v>
      </c>
      <c r="P206" s="33" t="s">
        <v>60</v>
      </c>
      <c r="Z206" s="31">
        <f>ROUND(IF(AQ206="5",BJ206,0),2)</f>
        <v>0</v>
      </c>
      <c r="AB206" s="31">
        <f>ROUND(IF(AQ206="1",BH206,0),2)</f>
        <v>0</v>
      </c>
      <c r="AC206" s="31">
        <f>ROUND(IF(AQ206="1",BI206,0),2)</f>
        <v>0</v>
      </c>
      <c r="AD206" s="31">
        <f>ROUND(IF(AQ206="7",BH206,0),2)</f>
        <v>0</v>
      </c>
      <c r="AE206" s="31">
        <f>ROUND(IF(AQ206="7",BI206,0),2)</f>
        <v>0</v>
      </c>
      <c r="AF206" s="31">
        <f>ROUND(IF(AQ206="2",BH206,0),2)</f>
        <v>0</v>
      </c>
      <c r="AG206" s="31">
        <f>ROUND(IF(AQ206="2",BI206,0),2)</f>
        <v>0</v>
      </c>
      <c r="AH206" s="31">
        <f>ROUND(IF(AQ206="0",BJ206,0),2)</f>
        <v>0</v>
      </c>
      <c r="AI206" s="12" t="s">
        <v>53</v>
      </c>
      <c r="AJ206" s="31">
        <f>IF(AN206=0,L206,0)</f>
        <v>0</v>
      </c>
      <c r="AK206" s="31">
        <f>IF(AN206=12,L206,0)</f>
        <v>0</v>
      </c>
      <c r="AL206" s="31">
        <f>IF(AN206=21,L206,0)</f>
        <v>0</v>
      </c>
      <c r="AN206" s="31">
        <v>21</v>
      </c>
      <c r="AO206" s="31">
        <f>H206*0</f>
        <v>0</v>
      </c>
      <c r="AP206" s="31">
        <f>H206*(1-0)</f>
        <v>0</v>
      </c>
      <c r="AQ206" s="34" t="s">
        <v>56</v>
      </c>
      <c r="AV206" s="31">
        <f>ROUND(AW206+AX206,2)</f>
        <v>0</v>
      </c>
      <c r="AW206" s="31">
        <f>ROUND(G206*AO206,2)</f>
        <v>0</v>
      </c>
      <c r="AX206" s="31">
        <f>ROUND(G206*AP206,2)</f>
        <v>0</v>
      </c>
      <c r="AY206" s="34" t="s">
        <v>294</v>
      </c>
      <c r="AZ206" s="34" t="s">
        <v>295</v>
      </c>
      <c r="BA206" s="12" t="s">
        <v>63</v>
      </c>
      <c r="BC206" s="31">
        <f>AW206+AX206</f>
        <v>0</v>
      </c>
      <c r="BD206" s="31">
        <f>H206/(100-BE206)*100</f>
        <v>0</v>
      </c>
      <c r="BE206" s="31">
        <v>0</v>
      </c>
      <c r="BF206" s="31">
        <f>O206</f>
        <v>0</v>
      </c>
      <c r="BH206" s="31">
        <f>G206*AO206</f>
        <v>0</v>
      </c>
      <c r="BI206" s="31">
        <f>G206*AP206</f>
        <v>0</v>
      </c>
      <c r="BJ206" s="31">
        <f>G206*H206</f>
        <v>0</v>
      </c>
      <c r="BK206" s="34" t="s">
        <v>64</v>
      </c>
      <c r="BL206" s="31">
        <v>90</v>
      </c>
      <c r="BW206" s="31">
        <f>I206</f>
        <v>21</v>
      </c>
      <c r="BX206" s="4" t="s">
        <v>301</v>
      </c>
    </row>
    <row r="207" spans="1:76" ht="27" customHeight="1" x14ac:dyDescent="0.25">
      <c r="A207" s="39" t="s">
        <v>53</v>
      </c>
      <c r="B207" s="40" t="s">
        <v>53</v>
      </c>
      <c r="C207" s="40" t="s">
        <v>302</v>
      </c>
      <c r="D207" s="375" t="s">
        <v>303</v>
      </c>
      <c r="E207" s="376"/>
      <c r="F207" s="41" t="s">
        <v>3</v>
      </c>
      <c r="G207" s="41" t="s">
        <v>3</v>
      </c>
      <c r="H207" s="41" t="s">
        <v>3</v>
      </c>
      <c r="I207" s="41" t="s">
        <v>3</v>
      </c>
      <c r="J207" s="1">
        <f>SUM(J208:J212)</f>
        <v>0</v>
      </c>
      <c r="K207" s="1">
        <f>SUM(K208:K212)</f>
        <v>0</v>
      </c>
      <c r="L207" s="1">
        <f>SUM(L208:L212)</f>
        <v>0</v>
      </c>
      <c r="M207" s="1">
        <f>SUM(M208:M212)</f>
        <v>0</v>
      </c>
      <c r="N207" s="12" t="s">
        <v>53</v>
      </c>
      <c r="O207" s="1">
        <f>SUM(O208:O212)</f>
        <v>1.7491500000000002</v>
      </c>
      <c r="P207" s="42" t="s">
        <v>53</v>
      </c>
      <c r="AI207" s="12" t="s">
        <v>53</v>
      </c>
      <c r="AS207" s="1">
        <f>SUM(AJ208:AJ212)</f>
        <v>0</v>
      </c>
      <c r="AT207" s="1">
        <f>SUM(AK208:AK212)</f>
        <v>0</v>
      </c>
      <c r="AU207" s="1">
        <f>SUM(AL208:AL212)</f>
        <v>0</v>
      </c>
      <c r="BX207" t="s">
        <v>303</v>
      </c>
    </row>
    <row r="208" spans="1:76" x14ac:dyDescent="0.25">
      <c r="A208" s="2">
        <f>A206+1</f>
        <v>70</v>
      </c>
      <c r="B208" s="3" t="s">
        <v>53</v>
      </c>
      <c r="C208" s="3" t="s">
        <v>304</v>
      </c>
      <c r="D208" s="310" t="s">
        <v>305</v>
      </c>
      <c r="E208" s="307"/>
      <c r="F208" s="3" t="s">
        <v>71</v>
      </c>
      <c r="G208" s="31">
        <v>72</v>
      </c>
      <c r="H208" s="31">
        <v>0</v>
      </c>
      <c r="I208" s="32">
        <v>21</v>
      </c>
      <c r="J208" s="31">
        <f>ROUND(G208*AO208,2)</f>
        <v>0</v>
      </c>
      <c r="K208" s="31">
        <f>ROUND(G208*AP208,2)</f>
        <v>0</v>
      </c>
      <c r="L208" s="31">
        <f>ROUND(G208*H208,2)</f>
        <v>0</v>
      </c>
      <c r="M208" s="31">
        <f>L208*(1+BW208/100)</f>
        <v>0</v>
      </c>
      <c r="N208" s="31">
        <v>0</v>
      </c>
      <c r="O208" s="31">
        <f>G208*N208</f>
        <v>0</v>
      </c>
      <c r="P208" s="33" t="s">
        <v>60</v>
      </c>
      <c r="Z208" s="31">
        <f>ROUND(IF(AQ208="5",BJ208,0),2)</f>
        <v>0</v>
      </c>
      <c r="AB208" s="31">
        <f>ROUND(IF(AQ208="1",BH208,0),2)</f>
        <v>0</v>
      </c>
      <c r="AC208" s="31">
        <f>ROUND(IF(AQ208="1",BI208,0),2)</f>
        <v>0</v>
      </c>
      <c r="AD208" s="31">
        <f>ROUND(IF(AQ208="7",BH208,0),2)</f>
        <v>0</v>
      </c>
      <c r="AE208" s="31">
        <f>ROUND(IF(AQ208="7",BI208,0),2)</f>
        <v>0</v>
      </c>
      <c r="AF208" s="31">
        <f>ROUND(IF(AQ208="2",BH208,0),2)</f>
        <v>0</v>
      </c>
      <c r="AG208" s="31">
        <f>ROUND(IF(AQ208="2",BI208,0),2)</f>
        <v>0</v>
      </c>
      <c r="AH208" s="31">
        <f>ROUND(IF(AQ208="0",BJ208,0),2)</f>
        <v>0</v>
      </c>
      <c r="AI208" s="12" t="s">
        <v>53</v>
      </c>
      <c r="AJ208" s="31">
        <f>IF(AN208=0,L208,0)</f>
        <v>0</v>
      </c>
      <c r="AK208" s="31">
        <f>IF(AN208=12,L208,0)</f>
        <v>0</v>
      </c>
      <c r="AL208" s="31">
        <f>IF(AN208=21,L208,0)</f>
        <v>0</v>
      </c>
      <c r="AN208" s="31">
        <v>21</v>
      </c>
      <c r="AO208" s="31">
        <f>H208*0.535440181</f>
        <v>0</v>
      </c>
      <c r="AP208" s="31">
        <f>H208*(1-0.535440181)</f>
        <v>0</v>
      </c>
      <c r="AQ208" s="34" t="s">
        <v>56</v>
      </c>
      <c r="AV208" s="31">
        <f>ROUND(AW208+AX208,2)</f>
        <v>0</v>
      </c>
      <c r="AW208" s="31">
        <f>ROUND(G208*AO208,2)</f>
        <v>0</v>
      </c>
      <c r="AX208" s="31">
        <f>ROUND(G208*AP208,2)</f>
        <v>0</v>
      </c>
      <c r="AY208" s="34" t="s">
        <v>306</v>
      </c>
      <c r="AZ208" s="34" t="s">
        <v>295</v>
      </c>
      <c r="BA208" s="12" t="s">
        <v>63</v>
      </c>
      <c r="BC208" s="31">
        <f>AW208+AX208</f>
        <v>0</v>
      </c>
      <c r="BD208" s="31">
        <f>H208/(100-BE208)*100</f>
        <v>0</v>
      </c>
      <c r="BE208" s="31">
        <v>0</v>
      </c>
      <c r="BF208" s="31">
        <f>O208</f>
        <v>0</v>
      </c>
      <c r="BH208" s="31">
        <f>G208*AO208</f>
        <v>0</v>
      </c>
      <c r="BI208" s="31">
        <f>G208*AP208</f>
        <v>0</v>
      </c>
      <c r="BJ208" s="31">
        <f>G208*H208</f>
        <v>0</v>
      </c>
      <c r="BK208" s="34" t="s">
        <v>64</v>
      </c>
      <c r="BL208" s="31">
        <v>91</v>
      </c>
      <c r="BW208" s="31">
        <f>I208</f>
        <v>21</v>
      </c>
      <c r="BX208" s="4" t="s">
        <v>305</v>
      </c>
    </row>
    <row r="209" spans="1:76" x14ac:dyDescent="0.25">
      <c r="A209" s="35"/>
      <c r="D209" s="87" t="s">
        <v>164</v>
      </c>
      <c r="E209" s="36" t="s">
        <v>53</v>
      </c>
      <c r="G209" s="37">
        <v>39.799999999999997</v>
      </c>
      <c r="P209" s="38"/>
      <c r="BX209" t="s">
        <v>164</v>
      </c>
    </row>
    <row r="210" spans="1:76" x14ac:dyDescent="0.25">
      <c r="A210" s="35"/>
      <c r="D210" s="87" t="s">
        <v>165</v>
      </c>
      <c r="E210" s="36" t="s">
        <v>53</v>
      </c>
      <c r="G210" s="37">
        <v>22.4</v>
      </c>
      <c r="P210" s="38"/>
      <c r="BX210" t="s">
        <v>165</v>
      </c>
    </row>
    <row r="211" spans="1:76" x14ac:dyDescent="0.25">
      <c r="A211" s="35"/>
      <c r="D211" s="87" t="s">
        <v>307</v>
      </c>
      <c r="E211" s="36" t="s">
        <v>53</v>
      </c>
      <c r="G211" s="37">
        <v>9.8000000000000007</v>
      </c>
      <c r="P211" s="38"/>
      <c r="BX211" t="s">
        <v>307</v>
      </c>
    </row>
    <row r="212" spans="1:76" x14ac:dyDescent="0.25">
      <c r="A212" s="2">
        <f>A208+1</f>
        <v>71</v>
      </c>
      <c r="B212" s="3" t="s">
        <v>53</v>
      </c>
      <c r="C212" s="3" t="s">
        <v>308</v>
      </c>
      <c r="D212" s="310" t="s">
        <v>309</v>
      </c>
      <c r="E212" s="307"/>
      <c r="F212" s="3" t="s">
        <v>71</v>
      </c>
      <c r="G212" s="31">
        <v>23</v>
      </c>
      <c r="H212" s="31">
        <v>0</v>
      </c>
      <c r="I212" s="32">
        <v>21</v>
      </c>
      <c r="J212" s="31">
        <f>ROUND(G212*AO212,2)</f>
        <v>0</v>
      </c>
      <c r="K212" s="31">
        <f>ROUND(G212*AP212,2)</f>
        <v>0</v>
      </c>
      <c r="L212" s="31">
        <f>ROUND(G212*H212,2)</f>
        <v>0</v>
      </c>
      <c r="M212" s="31">
        <f>L212*(1+BW212/100)</f>
        <v>0</v>
      </c>
      <c r="N212" s="31">
        <v>7.6050000000000006E-2</v>
      </c>
      <c r="O212" s="31">
        <f>G212*N212</f>
        <v>1.7491500000000002</v>
      </c>
      <c r="P212" s="33" t="s">
        <v>60</v>
      </c>
      <c r="Z212" s="31">
        <f>ROUND(IF(AQ212="5",BJ212,0),2)</f>
        <v>0</v>
      </c>
      <c r="AB212" s="31">
        <f>ROUND(IF(AQ212="1",BH212,0),2)</f>
        <v>0</v>
      </c>
      <c r="AC212" s="31">
        <f>ROUND(IF(AQ212="1",BI212,0),2)</f>
        <v>0</v>
      </c>
      <c r="AD212" s="31">
        <f>ROUND(IF(AQ212="7",BH212,0),2)</f>
        <v>0</v>
      </c>
      <c r="AE212" s="31">
        <f>ROUND(IF(AQ212="7",BI212,0),2)</f>
        <v>0</v>
      </c>
      <c r="AF212" s="31">
        <f>ROUND(IF(AQ212="2",BH212,0),2)</f>
        <v>0</v>
      </c>
      <c r="AG212" s="31">
        <f>ROUND(IF(AQ212="2",BI212,0),2)</f>
        <v>0</v>
      </c>
      <c r="AH212" s="31">
        <f>ROUND(IF(AQ212="0",BJ212,0),2)</f>
        <v>0</v>
      </c>
      <c r="AI212" s="12" t="s">
        <v>53</v>
      </c>
      <c r="AJ212" s="31">
        <f>IF(AN212=0,L212,0)</f>
        <v>0</v>
      </c>
      <c r="AK212" s="31">
        <f>IF(AN212=12,L212,0)</f>
        <v>0</v>
      </c>
      <c r="AL212" s="31">
        <f>IF(AN212=21,L212,0)</f>
        <v>0</v>
      </c>
      <c r="AN212" s="31">
        <v>21</v>
      </c>
      <c r="AO212" s="31">
        <f>H212*0.16277635</f>
        <v>0</v>
      </c>
      <c r="AP212" s="31">
        <f>H212*(1-0.16277635)</f>
        <v>0</v>
      </c>
      <c r="AQ212" s="34" t="s">
        <v>56</v>
      </c>
      <c r="AV212" s="31">
        <f>ROUND(AW212+AX212,2)</f>
        <v>0</v>
      </c>
      <c r="AW212" s="31">
        <f>ROUND(G212*AO212,2)</f>
        <v>0</v>
      </c>
      <c r="AX212" s="31">
        <f>ROUND(G212*AP212,2)</f>
        <v>0</v>
      </c>
      <c r="AY212" s="34" t="s">
        <v>306</v>
      </c>
      <c r="AZ212" s="34" t="s">
        <v>295</v>
      </c>
      <c r="BA212" s="12" t="s">
        <v>63</v>
      </c>
      <c r="BC212" s="31">
        <f>AW212+AX212</f>
        <v>0</v>
      </c>
      <c r="BD212" s="31">
        <f>H212/(100-BE212)*100</f>
        <v>0</v>
      </c>
      <c r="BE212" s="31">
        <v>0</v>
      </c>
      <c r="BF212" s="31">
        <f>O212</f>
        <v>1.7491500000000002</v>
      </c>
      <c r="BH212" s="31">
        <f>G212*AO212</f>
        <v>0</v>
      </c>
      <c r="BI212" s="31">
        <f>G212*AP212</f>
        <v>0</v>
      </c>
      <c r="BJ212" s="31">
        <f>G212*H212</f>
        <v>0</v>
      </c>
      <c r="BK212" s="34" t="s">
        <v>64</v>
      </c>
      <c r="BL212" s="31">
        <v>91</v>
      </c>
      <c r="BW212" s="31">
        <f>I212</f>
        <v>21</v>
      </c>
      <c r="BX212" s="4" t="s">
        <v>309</v>
      </c>
    </row>
    <row r="213" spans="1:76" x14ac:dyDescent="0.25">
      <c r="A213" s="35"/>
      <c r="D213" s="87" t="s">
        <v>72</v>
      </c>
      <c r="E213" s="36" t="s">
        <v>53</v>
      </c>
      <c r="G213" s="37">
        <v>23</v>
      </c>
      <c r="P213" s="38"/>
      <c r="BX213" t="s">
        <v>72</v>
      </c>
    </row>
    <row r="214" spans="1:76" x14ac:dyDescent="0.25">
      <c r="A214" s="39" t="s">
        <v>53</v>
      </c>
      <c r="B214" s="40" t="s">
        <v>53</v>
      </c>
      <c r="C214" s="40" t="s">
        <v>310</v>
      </c>
      <c r="D214" s="375" t="s">
        <v>311</v>
      </c>
      <c r="E214" s="376"/>
      <c r="F214" s="41" t="s">
        <v>3</v>
      </c>
      <c r="G214" s="41" t="s">
        <v>3</v>
      </c>
      <c r="H214" s="41" t="s">
        <v>3</v>
      </c>
      <c r="I214" s="41" t="s">
        <v>3</v>
      </c>
      <c r="J214" s="1">
        <f>SUM(J215:J217)</f>
        <v>0</v>
      </c>
      <c r="K214" s="1">
        <f>SUM(K215:K217)</f>
        <v>0</v>
      </c>
      <c r="L214" s="1">
        <f>SUM(L215:L217)</f>
        <v>0</v>
      </c>
      <c r="M214" s="1">
        <f>SUM(M215:M217)</f>
        <v>0</v>
      </c>
      <c r="N214" s="12" t="s">
        <v>53</v>
      </c>
      <c r="O214" s="1">
        <f>SUM(O215:O217)</f>
        <v>4.1483070000000009</v>
      </c>
      <c r="P214" s="42" t="s">
        <v>53</v>
      </c>
      <c r="AI214" s="12" t="s">
        <v>53</v>
      </c>
      <c r="AS214" s="1">
        <f>SUM(AJ215:AJ217)</f>
        <v>0</v>
      </c>
      <c r="AT214" s="1">
        <f>SUM(AK215:AK217)</f>
        <v>0</v>
      </c>
      <c r="AU214" s="1">
        <f>SUM(AL215:AL217)</f>
        <v>0</v>
      </c>
      <c r="BX214" t="s">
        <v>311</v>
      </c>
    </row>
    <row r="215" spans="1:76" x14ac:dyDescent="0.25">
      <c r="A215" s="2">
        <f>A212+1</f>
        <v>72</v>
      </c>
      <c r="B215" s="3" t="s">
        <v>53</v>
      </c>
      <c r="C215" s="3" t="s">
        <v>312</v>
      </c>
      <c r="D215" s="378" t="s">
        <v>313</v>
      </c>
      <c r="E215" s="379"/>
      <c r="F215" s="285" t="s">
        <v>59</v>
      </c>
      <c r="G215" s="287">
        <v>1084.6500000000001</v>
      </c>
      <c r="H215" s="31">
        <v>0</v>
      </c>
      <c r="I215" s="32">
        <v>21</v>
      </c>
      <c r="J215" s="31">
        <f>ROUND(G215*AO215,2)</f>
        <v>0</v>
      </c>
      <c r="K215" s="31">
        <f>ROUND(G215*AP215,2)</f>
        <v>0</v>
      </c>
      <c r="L215" s="31">
        <f>ROUND(G215*H215,2)</f>
        <v>0</v>
      </c>
      <c r="M215" s="31">
        <f>L215*(1+BW215/100)</f>
        <v>0</v>
      </c>
      <c r="N215" s="31">
        <v>1.58E-3</v>
      </c>
      <c r="O215" s="31">
        <f>G215*N215</f>
        <v>1.7137470000000001</v>
      </c>
      <c r="P215" s="33" t="s">
        <v>60</v>
      </c>
      <c r="Z215" s="31">
        <f>ROUND(IF(AQ215="5",BJ215,0),2)</f>
        <v>0</v>
      </c>
      <c r="AB215" s="31">
        <f>ROUND(IF(AQ215="1",BH215,0),2)</f>
        <v>0</v>
      </c>
      <c r="AC215" s="31">
        <f>ROUND(IF(AQ215="1",BI215,0),2)</f>
        <v>0</v>
      </c>
      <c r="AD215" s="31">
        <f>ROUND(IF(AQ215="7",BH215,0),2)</f>
        <v>0</v>
      </c>
      <c r="AE215" s="31">
        <f>ROUND(IF(AQ215="7",BI215,0),2)</f>
        <v>0</v>
      </c>
      <c r="AF215" s="31">
        <f>ROUND(IF(AQ215="2",BH215,0),2)</f>
        <v>0</v>
      </c>
      <c r="AG215" s="31">
        <f>ROUND(IF(AQ215="2",BI215,0),2)</f>
        <v>0</v>
      </c>
      <c r="AH215" s="31">
        <f>ROUND(IF(AQ215="0",BJ215,0),2)</f>
        <v>0</v>
      </c>
      <c r="AI215" s="12" t="s">
        <v>53</v>
      </c>
      <c r="AJ215" s="31">
        <f>IF(AN215=0,L215,0)</f>
        <v>0</v>
      </c>
      <c r="AK215" s="31">
        <f>IF(AN215=12,L215,0)</f>
        <v>0</v>
      </c>
      <c r="AL215" s="31">
        <f>IF(AN215=21,L215,0)</f>
        <v>0</v>
      </c>
      <c r="AN215" s="31">
        <v>21</v>
      </c>
      <c r="AO215" s="31">
        <f>H215*0.334582268</f>
        <v>0</v>
      </c>
      <c r="AP215" s="31">
        <f>H215*(1-0.334582268)</f>
        <v>0</v>
      </c>
      <c r="AQ215" s="34" t="s">
        <v>56</v>
      </c>
      <c r="AV215" s="31">
        <f>ROUND(AW215+AX215,2)</f>
        <v>0</v>
      </c>
      <c r="AW215" s="31">
        <f>ROUND(G215*AO215,2)</f>
        <v>0</v>
      </c>
      <c r="AX215" s="31">
        <f>ROUND(G215*AP215,2)</f>
        <v>0</v>
      </c>
      <c r="AY215" s="34" t="s">
        <v>314</v>
      </c>
      <c r="AZ215" s="34" t="s">
        <v>295</v>
      </c>
      <c r="BA215" s="12" t="s">
        <v>63</v>
      </c>
      <c r="BC215" s="31">
        <f>AW215+AX215</f>
        <v>0</v>
      </c>
      <c r="BD215" s="31">
        <f>H215/(100-BE215)*100</f>
        <v>0</v>
      </c>
      <c r="BE215" s="31">
        <v>0</v>
      </c>
      <c r="BF215" s="31">
        <f>O215</f>
        <v>1.7137470000000001</v>
      </c>
      <c r="BH215" s="31">
        <f>G215*AO215</f>
        <v>0</v>
      </c>
      <c r="BI215" s="31">
        <f>G215*AP215</f>
        <v>0</v>
      </c>
      <c r="BJ215" s="31">
        <f>G215*H215</f>
        <v>0</v>
      </c>
      <c r="BK215" s="34" t="s">
        <v>64</v>
      </c>
      <c r="BL215" s="31">
        <v>94</v>
      </c>
      <c r="BW215" s="31">
        <f>I215</f>
        <v>21</v>
      </c>
      <c r="BX215" s="4" t="s">
        <v>313</v>
      </c>
    </row>
    <row r="216" spans="1:76" x14ac:dyDescent="0.25">
      <c r="A216" s="43"/>
      <c r="B216" s="44"/>
      <c r="C216" s="44"/>
      <c r="D216" s="201" t="s">
        <v>640</v>
      </c>
      <c r="E216" s="286" t="s">
        <v>53</v>
      </c>
      <c r="F216" s="290"/>
      <c r="G216" s="289">
        <v>1084.6500000000001</v>
      </c>
      <c r="H216" s="44"/>
      <c r="I216" s="44"/>
      <c r="J216" s="44"/>
      <c r="K216" s="44"/>
      <c r="L216" s="44"/>
      <c r="M216" s="44"/>
      <c r="N216" s="44"/>
      <c r="O216" s="44"/>
      <c r="P216" s="45"/>
      <c r="BX216" t="s">
        <v>640</v>
      </c>
    </row>
    <row r="217" spans="1:76" x14ac:dyDescent="0.25">
      <c r="A217" s="2">
        <f>A215+1</f>
        <v>73</v>
      </c>
      <c r="B217" s="3" t="s">
        <v>53</v>
      </c>
      <c r="C217" s="3" t="s">
        <v>315</v>
      </c>
      <c r="D217" s="310" t="s">
        <v>316</v>
      </c>
      <c r="E217" s="307"/>
      <c r="F217" s="3" t="s">
        <v>59</v>
      </c>
      <c r="G217" s="31">
        <v>384</v>
      </c>
      <c r="H217" s="31">
        <v>0</v>
      </c>
      <c r="I217" s="32">
        <v>21</v>
      </c>
      <c r="J217" s="31">
        <f>ROUND(G217*AO217,2)</f>
        <v>0</v>
      </c>
      <c r="K217" s="31">
        <f>ROUND(G217*AP217,2)</f>
        <v>0</v>
      </c>
      <c r="L217" s="31">
        <f>ROUND(G217*H217,2)</f>
        <v>0</v>
      </c>
      <c r="M217" s="31">
        <f>L217*(1+BW217/100)</f>
        <v>0</v>
      </c>
      <c r="N217" s="31">
        <v>6.3400000000000001E-3</v>
      </c>
      <c r="O217" s="31">
        <f>G217*N217</f>
        <v>2.4345600000000003</v>
      </c>
      <c r="P217" s="33" t="s">
        <v>60</v>
      </c>
      <c r="Z217" s="31">
        <f>ROUND(IF(AQ217="5",BJ217,0),2)</f>
        <v>0</v>
      </c>
      <c r="AB217" s="31">
        <f>ROUND(IF(AQ217="1",BH217,0),2)</f>
        <v>0</v>
      </c>
      <c r="AC217" s="31">
        <f>ROUND(IF(AQ217="1",BI217,0),2)</f>
        <v>0</v>
      </c>
      <c r="AD217" s="31">
        <f>ROUND(IF(AQ217="7",BH217,0),2)</f>
        <v>0</v>
      </c>
      <c r="AE217" s="31">
        <f>ROUND(IF(AQ217="7",BI217,0),2)</f>
        <v>0</v>
      </c>
      <c r="AF217" s="31">
        <f>ROUND(IF(AQ217="2",BH217,0),2)</f>
        <v>0</v>
      </c>
      <c r="AG217" s="31">
        <f>ROUND(IF(AQ217="2",BI217,0),2)</f>
        <v>0</v>
      </c>
      <c r="AH217" s="31">
        <f>ROUND(IF(AQ217="0",BJ217,0),2)</f>
        <v>0</v>
      </c>
      <c r="AI217" s="12" t="s">
        <v>53</v>
      </c>
      <c r="AJ217" s="31">
        <f>IF(AN217=0,L217,0)</f>
        <v>0</v>
      </c>
      <c r="AK217" s="31">
        <f>IF(AN217=12,L217,0)</f>
        <v>0</v>
      </c>
      <c r="AL217" s="31">
        <f>IF(AN217=21,L217,0)</f>
        <v>0</v>
      </c>
      <c r="AN217" s="31">
        <v>21</v>
      </c>
      <c r="AO217" s="31">
        <f>H217*0.363193613</f>
        <v>0</v>
      </c>
      <c r="AP217" s="31">
        <f>H217*(1-0.363193613)</f>
        <v>0</v>
      </c>
      <c r="AQ217" s="34" t="s">
        <v>56</v>
      </c>
      <c r="AV217" s="31">
        <f>ROUND(AW217+AX217,2)</f>
        <v>0</v>
      </c>
      <c r="AW217" s="31">
        <f>ROUND(G217*AO217,2)</f>
        <v>0</v>
      </c>
      <c r="AX217" s="31">
        <f>ROUND(G217*AP217,2)</f>
        <v>0</v>
      </c>
      <c r="AY217" s="34" t="s">
        <v>314</v>
      </c>
      <c r="AZ217" s="34" t="s">
        <v>295</v>
      </c>
      <c r="BA217" s="12" t="s">
        <v>63</v>
      </c>
      <c r="BC217" s="31">
        <f>AW217+AX217</f>
        <v>0</v>
      </c>
      <c r="BD217" s="31">
        <f>H217/(100-BE217)*100</f>
        <v>0</v>
      </c>
      <c r="BE217" s="31">
        <v>0</v>
      </c>
      <c r="BF217" s="31">
        <f>O217</f>
        <v>2.4345600000000003</v>
      </c>
      <c r="BH217" s="31">
        <f>G217*AO217</f>
        <v>0</v>
      </c>
      <c r="BI217" s="31">
        <f>G217*AP217</f>
        <v>0</v>
      </c>
      <c r="BJ217" s="31">
        <f>G217*H217</f>
        <v>0</v>
      </c>
      <c r="BK217" s="34" t="s">
        <v>64</v>
      </c>
      <c r="BL217" s="31">
        <v>94</v>
      </c>
      <c r="BW217" s="31">
        <f>I217</f>
        <v>21</v>
      </c>
      <c r="BX217" s="4" t="s">
        <v>316</v>
      </c>
    </row>
    <row r="218" spans="1:76" x14ac:dyDescent="0.25">
      <c r="A218" s="35"/>
      <c r="D218" s="95" t="s">
        <v>632</v>
      </c>
      <c r="E218" s="36" t="s">
        <v>53</v>
      </c>
      <c r="G218" s="37">
        <v>24</v>
      </c>
      <c r="P218" s="38"/>
      <c r="BX218" t="s">
        <v>632</v>
      </c>
    </row>
    <row r="219" spans="1:76" x14ac:dyDescent="0.25">
      <c r="A219" s="35"/>
      <c r="D219" s="95" t="s">
        <v>317</v>
      </c>
      <c r="E219" s="36" t="s">
        <v>53</v>
      </c>
      <c r="G219" s="37">
        <v>360</v>
      </c>
      <c r="P219" s="38"/>
      <c r="BX219" t="s">
        <v>317</v>
      </c>
    </row>
    <row r="220" spans="1:76" x14ac:dyDescent="0.25">
      <c r="A220" s="39" t="s">
        <v>53</v>
      </c>
      <c r="B220" s="40" t="s">
        <v>53</v>
      </c>
      <c r="C220" s="40" t="s">
        <v>318</v>
      </c>
      <c r="D220" s="375" t="s">
        <v>319</v>
      </c>
      <c r="E220" s="376"/>
      <c r="F220" s="41" t="s">
        <v>3</v>
      </c>
      <c r="G220" s="41" t="s">
        <v>3</v>
      </c>
      <c r="H220" s="41" t="s">
        <v>3</v>
      </c>
      <c r="I220" s="41" t="s">
        <v>3</v>
      </c>
      <c r="J220" s="1">
        <f>SUM(J221:J231)</f>
        <v>0</v>
      </c>
      <c r="K220" s="1">
        <f>SUM(K221:K231)</f>
        <v>0</v>
      </c>
      <c r="L220" s="1">
        <f>SUM(L221:L231)</f>
        <v>0</v>
      </c>
      <c r="M220" s="1">
        <f>SUM(M221:M231)</f>
        <v>0</v>
      </c>
      <c r="N220" s="12" t="s">
        <v>53</v>
      </c>
      <c r="O220" s="1">
        <f>SUM(O221:O231)</f>
        <v>1.7002000000000003E-2</v>
      </c>
      <c r="P220" s="42" t="s">
        <v>53</v>
      </c>
      <c r="AI220" s="12" t="s">
        <v>53</v>
      </c>
      <c r="AS220" s="1">
        <f>SUM(AJ221:AJ231)</f>
        <v>0</v>
      </c>
      <c r="AT220" s="1">
        <f>SUM(AK221:AK231)</f>
        <v>0</v>
      </c>
      <c r="AU220" s="1">
        <f>SUM(AL221:AL231)</f>
        <v>0</v>
      </c>
      <c r="BX220" t="s">
        <v>319</v>
      </c>
    </row>
    <row r="221" spans="1:76" x14ac:dyDescent="0.25">
      <c r="A221" s="2">
        <f>A217+1</f>
        <v>74</v>
      </c>
      <c r="B221" s="3" t="s">
        <v>53</v>
      </c>
      <c r="C221" s="3" t="s">
        <v>320</v>
      </c>
      <c r="D221" s="310" t="s">
        <v>321</v>
      </c>
      <c r="E221" s="307"/>
      <c r="F221" s="3" t="s">
        <v>134</v>
      </c>
      <c r="G221" s="31">
        <v>16</v>
      </c>
      <c r="H221" s="31">
        <v>0</v>
      </c>
      <c r="I221" s="32">
        <v>21</v>
      </c>
      <c r="J221" s="31">
        <f>ROUND(G221*AO221,2)</f>
        <v>0</v>
      </c>
      <c r="K221" s="31">
        <f>ROUND(G221*AP221,2)</f>
        <v>0</v>
      </c>
      <c r="L221" s="31">
        <f>ROUND(G221*H221,2)</f>
        <v>0</v>
      </c>
      <c r="M221" s="31">
        <f>L221*(1+BW221/100)</f>
        <v>0</v>
      </c>
      <c r="N221" s="31">
        <v>1.2E-4</v>
      </c>
      <c r="O221" s="31">
        <f>G221*N221</f>
        <v>1.92E-3</v>
      </c>
      <c r="P221" s="33" t="s">
        <v>60</v>
      </c>
      <c r="Z221" s="31">
        <f>ROUND(IF(AQ221="5",BJ221,0),2)</f>
        <v>0</v>
      </c>
      <c r="AB221" s="31">
        <f>ROUND(IF(AQ221="1",BH221,0),2)</f>
        <v>0</v>
      </c>
      <c r="AC221" s="31">
        <f>ROUND(IF(AQ221="1",BI221,0),2)</f>
        <v>0</v>
      </c>
      <c r="AD221" s="31">
        <f>ROUND(IF(AQ221="7",BH221,0),2)</f>
        <v>0</v>
      </c>
      <c r="AE221" s="31">
        <f>ROUND(IF(AQ221="7",BI221,0),2)</f>
        <v>0</v>
      </c>
      <c r="AF221" s="31">
        <f>ROUND(IF(AQ221="2",BH221,0),2)</f>
        <v>0</v>
      </c>
      <c r="AG221" s="31">
        <f>ROUND(IF(AQ221="2",BI221,0),2)</f>
        <v>0</v>
      </c>
      <c r="AH221" s="31">
        <f>ROUND(IF(AQ221="0",BJ221,0),2)</f>
        <v>0</v>
      </c>
      <c r="AI221" s="12" t="s">
        <v>53</v>
      </c>
      <c r="AJ221" s="31">
        <f>IF(AN221=0,L221,0)</f>
        <v>0</v>
      </c>
      <c r="AK221" s="31">
        <f>IF(AN221=12,L221,0)</f>
        <v>0</v>
      </c>
      <c r="AL221" s="31">
        <f>IF(AN221=21,L221,0)</f>
        <v>0</v>
      </c>
      <c r="AN221" s="31">
        <v>21</v>
      </c>
      <c r="AO221" s="31">
        <f>H221*0.753890248</f>
        <v>0</v>
      </c>
      <c r="AP221" s="31">
        <f>H221*(1-0.753890248)</f>
        <v>0</v>
      </c>
      <c r="AQ221" s="34" t="s">
        <v>56</v>
      </c>
      <c r="AV221" s="31">
        <f>ROUND(AW221+AX221,2)</f>
        <v>0</v>
      </c>
      <c r="AW221" s="31">
        <f>ROUND(G221*AO221,2)</f>
        <v>0</v>
      </c>
      <c r="AX221" s="31">
        <f>ROUND(G221*AP221,2)</f>
        <v>0</v>
      </c>
      <c r="AY221" s="34" t="s">
        <v>322</v>
      </c>
      <c r="AZ221" s="34" t="s">
        <v>295</v>
      </c>
      <c r="BA221" s="12" t="s">
        <v>63</v>
      </c>
      <c r="BC221" s="31">
        <f>AW221+AX221</f>
        <v>0</v>
      </c>
      <c r="BD221" s="31">
        <f>H221/(100-BE221)*100</f>
        <v>0</v>
      </c>
      <c r="BE221" s="31">
        <v>0</v>
      </c>
      <c r="BF221" s="31">
        <f>O221</f>
        <v>1.92E-3</v>
      </c>
      <c r="BH221" s="31">
        <f>G221*AO221</f>
        <v>0</v>
      </c>
      <c r="BI221" s="31">
        <f>G221*AP221</f>
        <v>0</v>
      </c>
      <c r="BJ221" s="31">
        <f>G221*H221</f>
        <v>0</v>
      </c>
      <c r="BK221" s="34" t="s">
        <v>64</v>
      </c>
      <c r="BL221" s="31">
        <v>95</v>
      </c>
      <c r="BW221" s="31">
        <f>I221</f>
        <v>21</v>
      </c>
      <c r="BX221" s="4" t="s">
        <v>321</v>
      </c>
    </row>
    <row r="222" spans="1:76" x14ac:dyDescent="0.25">
      <c r="A222" s="43"/>
      <c r="B222" s="44"/>
      <c r="C222" s="44"/>
      <c r="D222" s="87" t="s">
        <v>323</v>
      </c>
      <c r="E222" s="36" t="s">
        <v>53</v>
      </c>
      <c r="F222" s="44"/>
      <c r="G222" s="37">
        <v>16</v>
      </c>
      <c r="H222" s="44"/>
      <c r="I222" s="44"/>
      <c r="J222" s="44"/>
      <c r="K222" s="44"/>
      <c r="L222" s="44"/>
      <c r="M222" s="44"/>
      <c r="N222" s="44"/>
      <c r="O222" s="44"/>
      <c r="P222" s="45"/>
      <c r="BX222" t="s">
        <v>323</v>
      </c>
    </row>
    <row r="223" spans="1:76" x14ac:dyDescent="0.25">
      <c r="A223" s="2">
        <f>A221+1</f>
        <v>75</v>
      </c>
      <c r="B223" s="3" t="s">
        <v>53</v>
      </c>
      <c r="C223" s="3" t="s">
        <v>324</v>
      </c>
      <c r="D223" s="310" t="s">
        <v>325</v>
      </c>
      <c r="E223" s="307"/>
      <c r="F223" s="3" t="s">
        <v>326</v>
      </c>
      <c r="G223" s="31">
        <v>1.6E-2</v>
      </c>
      <c r="H223" s="31">
        <v>0</v>
      </c>
      <c r="I223" s="32">
        <v>21</v>
      </c>
      <c r="J223" s="31">
        <f>ROUND(G223*AO223,2)</f>
        <v>0</v>
      </c>
      <c r="K223" s="31">
        <f>ROUND(G223*AP223,2)</f>
        <v>0</v>
      </c>
      <c r="L223" s="31">
        <f>ROUND(G223*H223,2)</f>
        <v>0</v>
      </c>
      <c r="M223" s="31">
        <f>L223*(1+BW223/100)</f>
        <v>0</v>
      </c>
      <c r="N223" s="31">
        <v>0.92700000000000005</v>
      </c>
      <c r="O223" s="31">
        <f>G223*N223</f>
        <v>1.4832000000000001E-2</v>
      </c>
      <c r="P223" s="33" t="s">
        <v>60</v>
      </c>
      <c r="Z223" s="31">
        <f>ROUND(IF(AQ223="5",BJ223,0),2)</f>
        <v>0</v>
      </c>
      <c r="AB223" s="31">
        <f>ROUND(IF(AQ223="1",BH223,0),2)</f>
        <v>0</v>
      </c>
      <c r="AC223" s="31">
        <f>ROUND(IF(AQ223="1",BI223,0),2)</f>
        <v>0</v>
      </c>
      <c r="AD223" s="31">
        <f>ROUND(IF(AQ223="7",BH223,0),2)</f>
        <v>0</v>
      </c>
      <c r="AE223" s="31">
        <f>ROUND(IF(AQ223="7",BI223,0),2)</f>
        <v>0</v>
      </c>
      <c r="AF223" s="31">
        <f>ROUND(IF(AQ223="2",BH223,0),2)</f>
        <v>0</v>
      </c>
      <c r="AG223" s="31">
        <f>ROUND(IF(AQ223="2",BI223,0),2)</f>
        <v>0</v>
      </c>
      <c r="AH223" s="31">
        <f>ROUND(IF(AQ223="0",BJ223,0),2)</f>
        <v>0</v>
      </c>
      <c r="AI223" s="12" t="s">
        <v>53</v>
      </c>
      <c r="AJ223" s="31">
        <f>IF(AN223=0,L223,0)</f>
        <v>0</v>
      </c>
      <c r="AK223" s="31">
        <f>IF(AN223=12,L223,0)</f>
        <v>0</v>
      </c>
      <c r="AL223" s="31">
        <f>IF(AN223=21,L223,0)</f>
        <v>0</v>
      </c>
      <c r="AN223" s="31">
        <v>21</v>
      </c>
      <c r="AO223" s="31">
        <f>H223*1</f>
        <v>0</v>
      </c>
      <c r="AP223" s="31">
        <f>H223*(1-1)</f>
        <v>0</v>
      </c>
      <c r="AQ223" s="34" t="s">
        <v>56</v>
      </c>
      <c r="AV223" s="31">
        <f>ROUND(AW223+AX223,2)</f>
        <v>0</v>
      </c>
      <c r="AW223" s="31">
        <f>ROUND(G223*AO223,2)</f>
        <v>0</v>
      </c>
      <c r="AX223" s="31">
        <f>ROUND(G223*AP223,2)</f>
        <v>0</v>
      </c>
      <c r="AY223" s="34" t="s">
        <v>322</v>
      </c>
      <c r="AZ223" s="34" t="s">
        <v>295</v>
      </c>
      <c r="BA223" s="12" t="s">
        <v>63</v>
      </c>
      <c r="BC223" s="31">
        <f>AW223+AX223</f>
        <v>0</v>
      </c>
      <c r="BD223" s="31">
        <f>H223/(100-BE223)*100</f>
        <v>0</v>
      </c>
      <c r="BE223" s="31">
        <v>0</v>
      </c>
      <c r="BF223" s="31">
        <f>O223</f>
        <v>1.4832000000000001E-2</v>
      </c>
      <c r="BH223" s="31">
        <f>G223*AO223</f>
        <v>0</v>
      </c>
      <c r="BI223" s="31">
        <f>G223*AP223</f>
        <v>0</v>
      </c>
      <c r="BJ223" s="31">
        <f>G223*H223</f>
        <v>0</v>
      </c>
      <c r="BK223" s="34" t="s">
        <v>203</v>
      </c>
      <c r="BL223" s="31">
        <v>95</v>
      </c>
      <c r="BW223" s="31">
        <f>I223</f>
        <v>21</v>
      </c>
      <c r="BX223" s="4" t="s">
        <v>325</v>
      </c>
    </row>
    <row r="224" spans="1:76" x14ac:dyDescent="0.25">
      <c r="A224" s="43"/>
      <c r="B224" s="44"/>
      <c r="C224" s="44"/>
      <c r="D224" s="87" t="s">
        <v>327</v>
      </c>
      <c r="E224" s="36" t="s">
        <v>53</v>
      </c>
      <c r="F224" s="44"/>
      <c r="G224" s="37">
        <v>1.6E-2</v>
      </c>
      <c r="H224" s="44"/>
      <c r="I224" s="44"/>
      <c r="J224" s="44"/>
      <c r="K224" s="44"/>
      <c r="L224" s="44"/>
      <c r="M224" s="44"/>
      <c r="N224" s="44"/>
      <c r="O224" s="44"/>
      <c r="P224" s="45"/>
      <c r="BX224" t="s">
        <v>327</v>
      </c>
    </row>
    <row r="225" spans="1:76" x14ac:dyDescent="0.25">
      <c r="A225" s="2">
        <f>A223+1</f>
        <v>76</v>
      </c>
      <c r="B225" s="3" t="s">
        <v>53</v>
      </c>
      <c r="C225" s="3" t="s">
        <v>328</v>
      </c>
      <c r="D225" s="310" t="s">
        <v>329</v>
      </c>
      <c r="E225" s="307"/>
      <c r="F225" s="3" t="s">
        <v>59</v>
      </c>
      <c r="G225" s="31">
        <v>78.454999999999998</v>
      </c>
      <c r="H225" s="31">
        <v>0</v>
      </c>
      <c r="I225" s="32">
        <v>21</v>
      </c>
      <c r="J225" s="31">
        <f>ROUND(G225*AO225,2)</f>
        <v>0</v>
      </c>
      <c r="K225" s="31">
        <f>ROUND(G225*AP225,2)</f>
        <v>0</v>
      </c>
      <c r="L225" s="31">
        <f>ROUND(G225*H225,2)</f>
        <v>0</v>
      </c>
      <c r="M225" s="31">
        <f>L225*(1+BW225/100)</f>
        <v>0</v>
      </c>
      <c r="N225" s="31">
        <v>0</v>
      </c>
      <c r="O225" s="31">
        <f>G225*N225</f>
        <v>0</v>
      </c>
      <c r="P225" s="33" t="s">
        <v>60</v>
      </c>
      <c r="Z225" s="31">
        <f>ROUND(IF(AQ225="5",BJ225,0),2)</f>
        <v>0</v>
      </c>
      <c r="AB225" s="31">
        <f>ROUND(IF(AQ225="1",BH225,0),2)</f>
        <v>0</v>
      </c>
      <c r="AC225" s="31">
        <f>ROUND(IF(AQ225="1",BI225,0),2)</f>
        <v>0</v>
      </c>
      <c r="AD225" s="31">
        <f>ROUND(IF(AQ225="7",BH225,0),2)</f>
        <v>0</v>
      </c>
      <c r="AE225" s="31">
        <f>ROUND(IF(AQ225="7",BI225,0),2)</f>
        <v>0</v>
      </c>
      <c r="AF225" s="31">
        <f>ROUND(IF(AQ225="2",BH225,0),2)</f>
        <v>0</v>
      </c>
      <c r="AG225" s="31">
        <f>ROUND(IF(AQ225="2",BI225,0),2)</f>
        <v>0</v>
      </c>
      <c r="AH225" s="31">
        <f>ROUND(IF(AQ225="0",BJ225,0),2)</f>
        <v>0</v>
      </c>
      <c r="AI225" s="12" t="s">
        <v>53</v>
      </c>
      <c r="AJ225" s="31">
        <f>IF(AN225=0,L225,0)</f>
        <v>0</v>
      </c>
      <c r="AK225" s="31">
        <f>IF(AN225=12,L225,0)</f>
        <v>0</v>
      </c>
      <c r="AL225" s="31">
        <f>IF(AN225=21,L225,0)</f>
        <v>0</v>
      </c>
      <c r="AN225" s="31">
        <v>21</v>
      </c>
      <c r="AO225" s="31">
        <f>H225*0.001406066</f>
        <v>0</v>
      </c>
      <c r="AP225" s="31">
        <f>H225*(1-0.001406066)</f>
        <v>0</v>
      </c>
      <c r="AQ225" s="34" t="s">
        <v>56</v>
      </c>
      <c r="AV225" s="31">
        <f>ROUND(AW225+AX225,2)</f>
        <v>0</v>
      </c>
      <c r="AW225" s="31">
        <f>ROUND(G225*AO225,2)</f>
        <v>0</v>
      </c>
      <c r="AX225" s="31">
        <f>ROUND(G225*AP225,2)</f>
        <v>0</v>
      </c>
      <c r="AY225" s="34" t="s">
        <v>322</v>
      </c>
      <c r="AZ225" s="34" t="s">
        <v>295</v>
      </c>
      <c r="BA225" s="12" t="s">
        <v>63</v>
      </c>
      <c r="BC225" s="31">
        <f>AW225+AX225</f>
        <v>0</v>
      </c>
      <c r="BD225" s="31">
        <f>H225/(100-BE225)*100</f>
        <v>0</v>
      </c>
      <c r="BE225" s="31">
        <v>0</v>
      </c>
      <c r="BF225" s="31">
        <f>O225</f>
        <v>0</v>
      </c>
      <c r="BH225" s="31">
        <f>G225*AO225</f>
        <v>0</v>
      </c>
      <c r="BI225" s="31">
        <f>G225*AP225</f>
        <v>0</v>
      </c>
      <c r="BJ225" s="31">
        <f>G225*H225</f>
        <v>0</v>
      </c>
      <c r="BK225" s="34" t="s">
        <v>64</v>
      </c>
      <c r="BL225" s="31">
        <v>95</v>
      </c>
      <c r="BW225" s="31">
        <f>I225</f>
        <v>21</v>
      </c>
      <c r="BX225" s="4" t="s">
        <v>329</v>
      </c>
    </row>
    <row r="226" spans="1:76" x14ac:dyDescent="0.25">
      <c r="A226" s="35"/>
      <c r="D226" s="95" t="s">
        <v>644</v>
      </c>
      <c r="E226" s="36" t="s">
        <v>53</v>
      </c>
      <c r="G226" s="37">
        <v>78.454999999999998</v>
      </c>
      <c r="P226" s="38"/>
      <c r="BX226" t="s">
        <v>644</v>
      </c>
    </row>
    <row r="227" spans="1:76" x14ac:dyDescent="0.25">
      <c r="A227" s="2">
        <f>A225+1</f>
        <v>77</v>
      </c>
      <c r="B227" s="3" t="s">
        <v>53</v>
      </c>
      <c r="C227" s="3" t="s">
        <v>330</v>
      </c>
      <c r="D227" s="310" t="s">
        <v>331</v>
      </c>
      <c r="E227" s="307"/>
      <c r="F227" s="3" t="s">
        <v>134</v>
      </c>
      <c r="G227" s="31">
        <v>1</v>
      </c>
      <c r="H227" s="31">
        <v>0</v>
      </c>
      <c r="I227" s="32">
        <v>21</v>
      </c>
      <c r="J227" s="31">
        <f>ROUND(G227*AO227,2)</f>
        <v>0</v>
      </c>
      <c r="K227" s="31">
        <f>ROUND(G227*AP227,2)</f>
        <v>0</v>
      </c>
      <c r="L227" s="31">
        <f>ROUND(G227*H227,2)</f>
        <v>0</v>
      </c>
      <c r="M227" s="31">
        <f>L227*(1+BW227/100)</f>
        <v>0</v>
      </c>
      <c r="N227" s="31">
        <v>2.5000000000000001E-4</v>
      </c>
      <c r="O227" s="31">
        <f>G227*N227</f>
        <v>2.5000000000000001E-4</v>
      </c>
      <c r="P227" s="33" t="s">
        <v>60</v>
      </c>
      <c r="Z227" s="31">
        <f>ROUND(IF(AQ227="5",BJ227,0),2)</f>
        <v>0</v>
      </c>
      <c r="AB227" s="31">
        <f>ROUND(IF(AQ227="1",BH227,0),2)</f>
        <v>0</v>
      </c>
      <c r="AC227" s="31">
        <f>ROUND(IF(AQ227="1",BI227,0),2)</f>
        <v>0</v>
      </c>
      <c r="AD227" s="31">
        <f>ROUND(IF(AQ227="7",BH227,0),2)</f>
        <v>0</v>
      </c>
      <c r="AE227" s="31">
        <f>ROUND(IF(AQ227="7",BI227,0),2)</f>
        <v>0</v>
      </c>
      <c r="AF227" s="31">
        <f>ROUND(IF(AQ227="2",BH227,0),2)</f>
        <v>0</v>
      </c>
      <c r="AG227" s="31">
        <f>ROUND(IF(AQ227="2",BI227,0),2)</f>
        <v>0</v>
      </c>
      <c r="AH227" s="31">
        <f>ROUND(IF(AQ227="0",BJ227,0),2)</f>
        <v>0</v>
      </c>
      <c r="AI227" s="12" t="s">
        <v>53</v>
      </c>
      <c r="AJ227" s="31">
        <f>IF(AN227=0,L227,0)</f>
        <v>0</v>
      </c>
      <c r="AK227" s="31">
        <f>IF(AN227=12,L227,0)</f>
        <v>0</v>
      </c>
      <c r="AL227" s="31">
        <f>IF(AN227=21,L227,0)</f>
        <v>0</v>
      </c>
      <c r="AN227" s="31">
        <v>21</v>
      </c>
      <c r="AO227" s="31">
        <f>H227*0.04675984</f>
        <v>0</v>
      </c>
      <c r="AP227" s="31">
        <f>H227*(1-0.04675984)</f>
        <v>0</v>
      </c>
      <c r="AQ227" s="34" t="s">
        <v>56</v>
      </c>
      <c r="AV227" s="31">
        <f>ROUND(AW227+AX227,2)</f>
        <v>0</v>
      </c>
      <c r="AW227" s="31">
        <f>ROUND(G227*AO227,2)</f>
        <v>0</v>
      </c>
      <c r="AX227" s="31">
        <f>ROUND(G227*AP227,2)</f>
        <v>0</v>
      </c>
      <c r="AY227" s="34" t="s">
        <v>322</v>
      </c>
      <c r="AZ227" s="34" t="s">
        <v>295</v>
      </c>
      <c r="BA227" s="12" t="s">
        <v>63</v>
      </c>
      <c r="BC227" s="31">
        <f>AW227+AX227</f>
        <v>0</v>
      </c>
      <c r="BD227" s="31">
        <f>H227/(100-BE227)*100</f>
        <v>0</v>
      </c>
      <c r="BE227" s="31">
        <v>0</v>
      </c>
      <c r="BF227" s="31">
        <f>O227</f>
        <v>2.5000000000000001E-4</v>
      </c>
      <c r="BH227" s="31">
        <f>G227*AO227</f>
        <v>0</v>
      </c>
      <c r="BI227" s="31">
        <f>G227*AP227</f>
        <v>0</v>
      </c>
      <c r="BJ227" s="31">
        <f>G227*H227</f>
        <v>0</v>
      </c>
      <c r="BK227" s="34" t="s">
        <v>64</v>
      </c>
      <c r="BL227" s="31">
        <v>95</v>
      </c>
      <c r="BW227" s="31">
        <f>I227</f>
        <v>21</v>
      </c>
      <c r="BX227" s="4" t="s">
        <v>331</v>
      </c>
    </row>
    <row r="228" spans="1:76" x14ac:dyDescent="0.25">
      <c r="A228" s="35"/>
      <c r="D228" s="87" t="s">
        <v>332</v>
      </c>
      <c r="E228" s="36" t="s">
        <v>53</v>
      </c>
      <c r="G228" s="37">
        <v>1</v>
      </c>
      <c r="P228" s="38"/>
      <c r="BX228" t="s">
        <v>332</v>
      </c>
    </row>
    <row r="229" spans="1:76" ht="25.5" x14ac:dyDescent="0.25">
      <c r="A229" s="2">
        <f>A227+1</f>
        <v>78</v>
      </c>
      <c r="B229" s="3" t="s">
        <v>53</v>
      </c>
      <c r="C229" s="3" t="s">
        <v>333</v>
      </c>
      <c r="D229" s="310" t="s">
        <v>1093</v>
      </c>
      <c r="E229" s="307"/>
      <c r="F229" s="3" t="s">
        <v>334</v>
      </c>
      <c r="G229" s="31">
        <v>39960</v>
      </c>
      <c r="H229" s="31">
        <v>0</v>
      </c>
      <c r="I229" s="32">
        <v>21</v>
      </c>
      <c r="J229" s="31">
        <f>ROUND(G229*AO229,2)</f>
        <v>0</v>
      </c>
      <c r="K229" s="31">
        <f>ROUND(G229*AP229,2)</f>
        <v>0</v>
      </c>
      <c r="L229" s="31">
        <f>ROUND(G229*H229,2)</f>
        <v>0</v>
      </c>
      <c r="M229" s="31">
        <f>L229*(1+BW229/100)</f>
        <v>0</v>
      </c>
      <c r="N229" s="31">
        <v>0</v>
      </c>
      <c r="O229" s="31">
        <f>G229*N229</f>
        <v>0</v>
      </c>
      <c r="P229" s="33" t="s">
        <v>53</v>
      </c>
      <c r="Z229" s="31">
        <f>ROUND(IF(AQ229="5",BJ229,0),2)</f>
        <v>0</v>
      </c>
      <c r="AB229" s="31">
        <f>ROUND(IF(AQ229="1",BH229,0),2)</f>
        <v>0</v>
      </c>
      <c r="AC229" s="31">
        <f>ROUND(IF(AQ229="1",BI229,0),2)</f>
        <v>0</v>
      </c>
      <c r="AD229" s="31">
        <f>ROUND(IF(AQ229="7",BH229,0),2)</f>
        <v>0</v>
      </c>
      <c r="AE229" s="31">
        <f>ROUND(IF(AQ229="7",BI229,0),2)</f>
        <v>0</v>
      </c>
      <c r="AF229" s="31">
        <f>ROUND(IF(AQ229="2",BH229,0),2)</f>
        <v>0</v>
      </c>
      <c r="AG229" s="31">
        <f>ROUND(IF(AQ229="2",BI229,0),2)</f>
        <v>0</v>
      </c>
      <c r="AH229" s="31">
        <f>ROUND(IF(AQ229="0",BJ229,0),2)</f>
        <v>0</v>
      </c>
      <c r="AI229" s="12" t="s">
        <v>53</v>
      </c>
      <c r="AJ229" s="31">
        <f>IF(AN229=0,L229,0)</f>
        <v>0</v>
      </c>
      <c r="AK229" s="31">
        <f>IF(AN229=12,L229,0)</f>
        <v>0</v>
      </c>
      <c r="AL229" s="31">
        <f>IF(AN229=21,L229,0)</f>
        <v>0</v>
      </c>
      <c r="AN229" s="31">
        <v>21</v>
      </c>
      <c r="AO229" s="31">
        <f>H229*0</f>
        <v>0</v>
      </c>
      <c r="AP229" s="31">
        <f>H229*(1-0)</f>
        <v>0</v>
      </c>
      <c r="AQ229" s="34" t="s">
        <v>56</v>
      </c>
      <c r="AV229" s="31">
        <f>ROUND(AW229+AX229,2)</f>
        <v>0</v>
      </c>
      <c r="AW229" s="31">
        <f>ROUND(G229*AO229,2)</f>
        <v>0</v>
      </c>
      <c r="AX229" s="31">
        <f>ROUND(G229*AP229,2)</f>
        <v>0</v>
      </c>
      <c r="AY229" s="34" t="s">
        <v>322</v>
      </c>
      <c r="AZ229" s="34" t="s">
        <v>295</v>
      </c>
      <c r="BA229" s="12" t="s">
        <v>63</v>
      </c>
      <c r="BC229" s="31">
        <f>AW229+AX229</f>
        <v>0</v>
      </c>
      <c r="BD229" s="31">
        <f>H229/(100-BE229)*100</f>
        <v>0</v>
      </c>
      <c r="BE229" s="31">
        <v>0</v>
      </c>
      <c r="BF229" s="31">
        <f>O229</f>
        <v>0</v>
      </c>
      <c r="BH229" s="31">
        <f>G229*AO229</f>
        <v>0</v>
      </c>
      <c r="BI229" s="31">
        <f>G229*AP229</f>
        <v>0</v>
      </c>
      <c r="BJ229" s="31">
        <f>G229*H229</f>
        <v>0</v>
      </c>
      <c r="BK229" s="34" t="s">
        <v>64</v>
      </c>
      <c r="BL229" s="31">
        <v>95</v>
      </c>
      <c r="BW229" s="31">
        <f>I229</f>
        <v>21</v>
      </c>
      <c r="BX229" s="4" t="s">
        <v>1093</v>
      </c>
    </row>
    <row r="230" spans="1:76" x14ac:dyDescent="0.25">
      <c r="A230" s="35"/>
      <c r="D230" s="87" t="s">
        <v>1094</v>
      </c>
      <c r="E230" s="36" t="s">
        <v>53</v>
      </c>
      <c r="G230" s="37">
        <v>39960</v>
      </c>
      <c r="P230" s="38"/>
      <c r="BX230" t="s">
        <v>1094</v>
      </c>
    </row>
    <row r="231" spans="1:76" x14ac:dyDescent="0.25">
      <c r="A231" s="2">
        <f>A229+1</f>
        <v>79</v>
      </c>
      <c r="B231" s="3" t="s">
        <v>53</v>
      </c>
      <c r="C231" s="3" t="s">
        <v>335</v>
      </c>
      <c r="D231" s="310" t="s">
        <v>336</v>
      </c>
      <c r="E231" s="307"/>
      <c r="F231" s="3" t="s">
        <v>134</v>
      </c>
      <c r="G231" s="31">
        <v>2</v>
      </c>
      <c r="H231" s="31">
        <v>0</v>
      </c>
      <c r="I231" s="32">
        <v>21</v>
      </c>
      <c r="J231" s="31">
        <f>ROUND(G231*AO231,2)</f>
        <v>0</v>
      </c>
      <c r="K231" s="31">
        <f>ROUND(G231*AP231,2)</f>
        <v>0</v>
      </c>
      <c r="L231" s="31">
        <f>ROUND(G231*H231,2)</f>
        <v>0</v>
      </c>
      <c r="M231" s="31">
        <f>L231*(1+BW231/100)</f>
        <v>0</v>
      </c>
      <c r="N231" s="31">
        <v>0</v>
      </c>
      <c r="O231" s="31">
        <f>G231*N231</f>
        <v>0</v>
      </c>
      <c r="P231" s="33" t="s">
        <v>53</v>
      </c>
      <c r="Z231" s="31">
        <f>ROUND(IF(AQ231="5",BJ231,0),2)</f>
        <v>0</v>
      </c>
      <c r="AB231" s="31">
        <f>ROUND(IF(AQ231="1",BH231,0),2)</f>
        <v>0</v>
      </c>
      <c r="AC231" s="31">
        <f>ROUND(IF(AQ231="1",BI231,0),2)</f>
        <v>0</v>
      </c>
      <c r="AD231" s="31">
        <f>ROUND(IF(AQ231="7",BH231,0),2)</f>
        <v>0</v>
      </c>
      <c r="AE231" s="31">
        <f>ROUND(IF(AQ231="7",BI231,0),2)</f>
        <v>0</v>
      </c>
      <c r="AF231" s="31">
        <f>ROUND(IF(AQ231="2",BH231,0),2)</f>
        <v>0</v>
      </c>
      <c r="AG231" s="31">
        <f>ROUND(IF(AQ231="2",BI231,0),2)</f>
        <v>0</v>
      </c>
      <c r="AH231" s="31">
        <f>ROUND(IF(AQ231="0",BJ231,0),2)</f>
        <v>0</v>
      </c>
      <c r="AI231" s="12" t="s">
        <v>53</v>
      </c>
      <c r="AJ231" s="31">
        <f>IF(AN231=0,L231,0)</f>
        <v>0</v>
      </c>
      <c r="AK231" s="31">
        <f>IF(AN231=12,L231,0)</f>
        <v>0</v>
      </c>
      <c r="AL231" s="31">
        <f>IF(AN231=21,L231,0)</f>
        <v>0</v>
      </c>
      <c r="AN231" s="31">
        <v>21</v>
      </c>
      <c r="AO231" s="31">
        <f>H231*1</f>
        <v>0</v>
      </c>
      <c r="AP231" s="31">
        <f>H231*(1-1)</f>
        <v>0</v>
      </c>
      <c r="AQ231" s="34" t="s">
        <v>56</v>
      </c>
      <c r="AV231" s="31">
        <f>ROUND(AW231+AX231,2)</f>
        <v>0</v>
      </c>
      <c r="AW231" s="31">
        <f>ROUND(G231*AO231,2)</f>
        <v>0</v>
      </c>
      <c r="AX231" s="31">
        <f>ROUND(G231*AP231,2)</f>
        <v>0</v>
      </c>
      <c r="AY231" s="34" t="s">
        <v>322</v>
      </c>
      <c r="AZ231" s="34" t="s">
        <v>295</v>
      </c>
      <c r="BA231" s="12" t="s">
        <v>63</v>
      </c>
      <c r="BC231" s="31">
        <f>AW231+AX231</f>
        <v>0</v>
      </c>
      <c r="BD231" s="31">
        <f>H231/(100-BE231)*100</f>
        <v>0</v>
      </c>
      <c r="BE231" s="31">
        <v>0</v>
      </c>
      <c r="BF231" s="31">
        <f>O231</f>
        <v>0</v>
      </c>
      <c r="BH231" s="31">
        <f>G231*AO231</f>
        <v>0</v>
      </c>
      <c r="BI231" s="31">
        <f>G231*AP231</f>
        <v>0</v>
      </c>
      <c r="BJ231" s="31">
        <f>G231*H231</f>
        <v>0</v>
      </c>
      <c r="BK231" s="34" t="s">
        <v>64</v>
      </c>
      <c r="BL231" s="31">
        <v>95</v>
      </c>
      <c r="BW231" s="31">
        <f>I231</f>
        <v>21</v>
      </c>
      <c r="BX231" s="4" t="s">
        <v>336</v>
      </c>
    </row>
    <row r="232" spans="1:76" x14ac:dyDescent="0.25">
      <c r="A232" s="35"/>
      <c r="D232" s="95" t="s">
        <v>631</v>
      </c>
      <c r="E232" s="36" t="s">
        <v>53</v>
      </c>
      <c r="G232" s="37">
        <v>2</v>
      </c>
      <c r="P232" s="38"/>
      <c r="BX232" t="s">
        <v>631</v>
      </c>
    </row>
    <row r="233" spans="1:76" x14ac:dyDescent="0.25">
      <c r="A233" s="39" t="s">
        <v>53</v>
      </c>
      <c r="B233" s="40" t="s">
        <v>53</v>
      </c>
      <c r="C233" s="40" t="s">
        <v>337</v>
      </c>
      <c r="D233" s="375" t="s">
        <v>338</v>
      </c>
      <c r="E233" s="376"/>
      <c r="F233" s="41" t="s">
        <v>3</v>
      </c>
      <c r="G233" s="41" t="s">
        <v>3</v>
      </c>
      <c r="H233" s="41" t="s">
        <v>3</v>
      </c>
      <c r="I233" s="41" t="s">
        <v>3</v>
      </c>
      <c r="J233" s="1">
        <f>SUM(J234:J252)</f>
        <v>0</v>
      </c>
      <c r="K233" s="1">
        <f>SUM(K234:K252)</f>
        <v>0</v>
      </c>
      <c r="L233" s="1">
        <f>SUM(L234:L252)</f>
        <v>0</v>
      </c>
      <c r="M233" s="1">
        <f>SUM(M234:M252)</f>
        <v>0</v>
      </c>
      <c r="N233" s="12" t="s">
        <v>53</v>
      </c>
      <c r="O233" s="1">
        <f>SUM(O234:O252)</f>
        <v>9.5864115900000009</v>
      </c>
      <c r="P233" s="42" t="s">
        <v>53</v>
      </c>
      <c r="AI233" s="12" t="s">
        <v>53</v>
      </c>
      <c r="AS233" s="1">
        <f>SUM(AJ234:AJ252)</f>
        <v>0</v>
      </c>
      <c r="AT233" s="1">
        <f>SUM(AK234:AK252)</f>
        <v>0</v>
      </c>
      <c r="AU233" s="1">
        <f>SUM(AL234:AL252)</f>
        <v>0</v>
      </c>
      <c r="BX233" t="s">
        <v>338</v>
      </c>
    </row>
    <row r="234" spans="1:76" x14ac:dyDescent="0.25">
      <c r="A234" s="2">
        <f>A231+1</f>
        <v>80</v>
      </c>
      <c r="B234" s="3" t="s">
        <v>53</v>
      </c>
      <c r="C234" s="3" t="s">
        <v>339</v>
      </c>
      <c r="D234" s="310" t="s">
        <v>340</v>
      </c>
      <c r="E234" s="307"/>
      <c r="F234" s="3" t="s">
        <v>59</v>
      </c>
      <c r="G234" s="31">
        <v>7.6999999999999999E-2</v>
      </c>
      <c r="H234" s="31">
        <v>0</v>
      </c>
      <c r="I234" s="32">
        <v>21</v>
      </c>
      <c r="J234" s="31">
        <f>ROUND(G234*AO234,2)</f>
        <v>0</v>
      </c>
      <c r="K234" s="31">
        <f>ROUND(G234*AP234,2)</f>
        <v>0</v>
      </c>
      <c r="L234" s="31">
        <f>ROUND(G234*H234,2)</f>
        <v>0</v>
      </c>
      <c r="M234" s="31">
        <f>L234*(1+BW234/100)</f>
        <v>0</v>
      </c>
      <c r="N234" s="31">
        <v>0.32467000000000001</v>
      </c>
      <c r="O234" s="31">
        <f>G234*N234</f>
        <v>2.4999590000000002E-2</v>
      </c>
      <c r="P234" s="33" t="s">
        <v>60</v>
      </c>
      <c r="Z234" s="31">
        <f>ROUND(IF(AQ234="5",BJ234,0),2)</f>
        <v>0</v>
      </c>
      <c r="AB234" s="31">
        <f>ROUND(IF(AQ234="1",BH234,0),2)</f>
        <v>0</v>
      </c>
      <c r="AC234" s="31">
        <f>ROUND(IF(AQ234="1",BI234,0),2)</f>
        <v>0</v>
      </c>
      <c r="AD234" s="31">
        <f>ROUND(IF(AQ234="7",BH234,0),2)</f>
        <v>0</v>
      </c>
      <c r="AE234" s="31">
        <f>ROUND(IF(AQ234="7",BI234,0),2)</f>
        <v>0</v>
      </c>
      <c r="AF234" s="31">
        <f>ROUND(IF(AQ234="2",BH234,0),2)</f>
        <v>0</v>
      </c>
      <c r="AG234" s="31">
        <f>ROUND(IF(AQ234="2",BI234,0),2)</f>
        <v>0</v>
      </c>
      <c r="AH234" s="31">
        <f>ROUND(IF(AQ234="0",BJ234,0),2)</f>
        <v>0</v>
      </c>
      <c r="AI234" s="12" t="s">
        <v>53</v>
      </c>
      <c r="AJ234" s="31">
        <f>IF(AN234=0,L234,0)</f>
        <v>0</v>
      </c>
      <c r="AK234" s="31">
        <f>IF(AN234=12,L234,0)</f>
        <v>0</v>
      </c>
      <c r="AL234" s="31">
        <f>IF(AN234=21,L234,0)</f>
        <v>0</v>
      </c>
      <c r="AN234" s="31">
        <v>21</v>
      </c>
      <c r="AO234" s="31">
        <f>H234*0.038422131</f>
        <v>0</v>
      </c>
      <c r="AP234" s="31">
        <f>H234*(1-0.038422131)</f>
        <v>0</v>
      </c>
      <c r="AQ234" s="34" t="s">
        <v>56</v>
      </c>
      <c r="AV234" s="31">
        <f>ROUND(AW234+AX234,2)</f>
        <v>0</v>
      </c>
      <c r="AW234" s="31">
        <f>ROUND(G234*AO234,2)</f>
        <v>0</v>
      </c>
      <c r="AX234" s="31">
        <f>ROUND(G234*AP234,2)</f>
        <v>0</v>
      </c>
      <c r="AY234" s="34" t="s">
        <v>341</v>
      </c>
      <c r="AZ234" s="34" t="s">
        <v>295</v>
      </c>
      <c r="BA234" s="12" t="s">
        <v>63</v>
      </c>
      <c r="BC234" s="31">
        <f>AW234+AX234</f>
        <v>0</v>
      </c>
      <c r="BD234" s="31">
        <f>H234/(100-BE234)*100</f>
        <v>0</v>
      </c>
      <c r="BE234" s="31">
        <v>0</v>
      </c>
      <c r="BF234" s="31">
        <f>O234</f>
        <v>2.4999590000000002E-2</v>
      </c>
      <c r="BH234" s="31">
        <f>G234*AO234</f>
        <v>0</v>
      </c>
      <c r="BI234" s="31">
        <f>G234*AP234</f>
        <v>0</v>
      </c>
      <c r="BJ234" s="31">
        <f>G234*H234</f>
        <v>0</v>
      </c>
      <c r="BK234" s="34" t="s">
        <v>64</v>
      </c>
      <c r="BL234" s="31">
        <v>96</v>
      </c>
      <c r="BW234" s="31">
        <f>I234</f>
        <v>21</v>
      </c>
      <c r="BX234" s="4" t="s">
        <v>340</v>
      </c>
    </row>
    <row r="235" spans="1:76" x14ac:dyDescent="0.25">
      <c r="A235" s="35"/>
      <c r="D235" s="87" t="s">
        <v>342</v>
      </c>
      <c r="E235" s="36" t="s">
        <v>53</v>
      </c>
      <c r="G235" s="37">
        <v>7.6999999999999999E-2</v>
      </c>
      <c r="P235" s="38"/>
      <c r="BX235" t="s">
        <v>342</v>
      </c>
    </row>
    <row r="236" spans="1:76" s="106" customFormat="1" x14ac:dyDescent="0.25">
      <c r="A236" s="113">
        <f>A234+1</f>
        <v>81</v>
      </c>
      <c r="B236" s="114" t="s">
        <v>53</v>
      </c>
      <c r="C236" s="114" t="s">
        <v>304</v>
      </c>
      <c r="D236" s="388" t="s">
        <v>305</v>
      </c>
      <c r="E236" s="389"/>
      <c r="F236" s="114" t="s">
        <v>71</v>
      </c>
      <c r="G236" s="115">
        <v>72</v>
      </c>
      <c r="H236" s="115">
        <v>0</v>
      </c>
      <c r="I236" s="116">
        <v>21</v>
      </c>
      <c r="J236" s="115">
        <f>ROUND(G236*AO236,2)</f>
        <v>0</v>
      </c>
      <c r="K236" s="115">
        <f>ROUND(G236*AP236,2)</f>
        <v>0</v>
      </c>
      <c r="L236" s="115">
        <f>ROUND(G236*H236,2)</f>
        <v>0</v>
      </c>
      <c r="M236" s="115">
        <f>L236*(1+BW236/100)</f>
        <v>0</v>
      </c>
      <c r="N236" s="115">
        <v>0</v>
      </c>
      <c r="O236" s="115">
        <f>G236*N236</f>
        <v>0</v>
      </c>
      <c r="P236" s="117" t="s">
        <v>60</v>
      </c>
      <c r="Z236" s="115">
        <f>ROUND(IF(AQ236="5",BJ236,0),2)</f>
        <v>0</v>
      </c>
      <c r="AB236" s="115">
        <f>ROUND(IF(AQ236="1",BH236,0),2)</f>
        <v>0</v>
      </c>
      <c r="AC236" s="115">
        <f>ROUND(IF(AQ236="1",BI236,0),2)</f>
        <v>0</v>
      </c>
      <c r="AD236" s="115">
        <f>ROUND(IF(AQ236="7",BH236,0),2)</f>
        <v>0</v>
      </c>
      <c r="AE236" s="115">
        <f>ROUND(IF(AQ236="7",BI236,0),2)</f>
        <v>0</v>
      </c>
      <c r="AF236" s="115">
        <f>ROUND(IF(AQ236="2",BH236,0),2)</f>
        <v>0</v>
      </c>
      <c r="AG236" s="115">
        <f>ROUND(IF(AQ236="2",BI236,0),2)</f>
        <v>0</v>
      </c>
      <c r="AH236" s="115">
        <f>ROUND(IF(AQ236="0",BJ236,0),2)</f>
        <v>0</v>
      </c>
      <c r="AI236" s="118" t="s">
        <v>53</v>
      </c>
      <c r="AJ236" s="115">
        <f>IF(AN236=0,L236,0)</f>
        <v>0</v>
      </c>
      <c r="AK236" s="115">
        <f>IF(AN236=12,L236,0)</f>
        <v>0</v>
      </c>
      <c r="AL236" s="115">
        <f>IF(AN236=21,L236,0)</f>
        <v>0</v>
      </c>
      <c r="AN236" s="115">
        <v>21</v>
      </c>
      <c r="AO236" s="115">
        <f>H236*0.535440181</f>
        <v>0</v>
      </c>
      <c r="AP236" s="115">
        <f>H236*(1-0.535440181)</f>
        <v>0</v>
      </c>
      <c r="AQ236" s="119" t="s">
        <v>56</v>
      </c>
      <c r="AV236" s="115">
        <f>ROUND(AW236+AX236,2)</f>
        <v>0</v>
      </c>
      <c r="AW236" s="115">
        <f>ROUND(G236*AO236,2)</f>
        <v>0</v>
      </c>
      <c r="AX236" s="115">
        <f>ROUND(G236*AP236,2)</f>
        <v>0</v>
      </c>
      <c r="AY236" s="119" t="s">
        <v>341</v>
      </c>
      <c r="AZ236" s="119" t="s">
        <v>295</v>
      </c>
      <c r="BA236" s="118" t="s">
        <v>63</v>
      </c>
      <c r="BC236" s="115">
        <f>AW236+AX236</f>
        <v>0</v>
      </c>
      <c r="BD236" s="115">
        <f>H236/(100-BE236)*100</f>
        <v>0</v>
      </c>
      <c r="BE236" s="115">
        <v>0</v>
      </c>
      <c r="BF236" s="115">
        <f>O236</f>
        <v>0</v>
      </c>
      <c r="BH236" s="115">
        <f>G236*AO236</f>
        <v>0</v>
      </c>
      <c r="BI236" s="115">
        <f>G236*AP236</f>
        <v>0</v>
      </c>
      <c r="BJ236" s="115">
        <f>G236*H236</f>
        <v>0</v>
      </c>
      <c r="BK236" s="119" t="s">
        <v>64</v>
      </c>
      <c r="BL236" s="115">
        <v>96</v>
      </c>
      <c r="BW236" s="115">
        <f>I236</f>
        <v>21</v>
      </c>
      <c r="BX236" s="120" t="s">
        <v>305</v>
      </c>
    </row>
    <row r="237" spans="1:76" s="106" customFormat="1" x14ac:dyDescent="0.25">
      <c r="A237" s="91"/>
      <c r="D237" s="291" t="s">
        <v>164</v>
      </c>
      <c r="E237" s="291" t="s">
        <v>53</v>
      </c>
      <c r="G237" s="292">
        <v>39.799999999999997</v>
      </c>
      <c r="P237" s="93"/>
      <c r="BX237" s="106" t="s">
        <v>164</v>
      </c>
    </row>
    <row r="238" spans="1:76" s="106" customFormat="1" x14ac:dyDescent="0.25">
      <c r="A238" s="91"/>
      <c r="D238" s="291" t="s">
        <v>165</v>
      </c>
      <c r="E238" s="291" t="s">
        <v>53</v>
      </c>
      <c r="G238" s="292">
        <v>22.4</v>
      </c>
      <c r="P238" s="93"/>
      <c r="BX238" s="106" t="s">
        <v>165</v>
      </c>
    </row>
    <row r="239" spans="1:76" s="106" customFormat="1" x14ac:dyDescent="0.25">
      <c r="A239" s="91"/>
      <c r="D239" s="291" t="s">
        <v>307</v>
      </c>
      <c r="E239" s="291" t="s">
        <v>53</v>
      </c>
      <c r="G239" s="292">
        <v>9.8000000000000007</v>
      </c>
      <c r="P239" s="93"/>
      <c r="BX239" s="106" t="s">
        <v>307</v>
      </c>
    </row>
    <row r="240" spans="1:76" x14ac:dyDescent="0.25">
      <c r="A240" s="2">
        <f>A236+1</f>
        <v>82</v>
      </c>
      <c r="B240" s="3" t="s">
        <v>53</v>
      </c>
      <c r="C240" s="3" t="s">
        <v>343</v>
      </c>
      <c r="D240" s="310" t="s">
        <v>641</v>
      </c>
      <c r="E240" s="307"/>
      <c r="F240" s="3" t="s">
        <v>134</v>
      </c>
      <c r="G240" s="31">
        <v>59.25</v>
      </c>
      <c r="H240" s="31">
        <v>0</v>
      </c>
      <c r="I240" s="32">
        <v>21</v>
      </c>
      <c r="J240" s="31">
        <f>ROUND(G240*AO240,2)</f>
        <v>0</v>
      </c>
      <c r="K240" s="31">
        <f>ROUND(G240*AP240,2)</f>
        <v>0</v>
      </c>
      <c r="L240" s="31">
        <f>ROUND(G240*H240,2)</f>
        <v>0</v>
      </c>
      <c r="M240" s="31">
        <f>L240*(1+BW240/100)</f>
        <v>0</v>
      </c>
      <c r="N240" s="31">
        <v>8.5999999999999993E-2</v>
      </c>
      <c r="O240" s="31">
        <f>G240*N240</f>
        <v>5.0954999999999995</v>
      </c>
      <c r="P240" s="33" t="s">
        <v>60</v>
      </c>
      <c r="Z240" s="31">
        <f>ROUND(IF(AQ240="5",BJ240,0),2)</f>
        <v>0</v>
      </c>
      <c r="AB240" s="31">
        <f>ROUND(IF(AQ240="1",BH240,0),2)</f>
        <v>0</v>
      </c>
      <c r="AC240" s="31">
        <f>ROUND(IF(AQ240="1",BI240,0),2)</f>
        <v>0</v>
      </c>
      <c r="AD240" s="31">
        <f>ROUND(IF(AQ240="7",BH240,0),2)</f>
        <v>0</v>
      </c>
      <c r="AE240" s="31">
        <f>ROUND(IF(AQ240="7",BI240,0),2)</f>
        <v>0</v>
      </c>
      <c r="AF240" s="31">
        <f>ROUND(IF(AQ240="2",BH240,0),2)</f>
        <v>0</v>
      </c>
      <c r="AG240" s="31">
        <f>ROUND(IF(AQ240="2",BI240,0),2)</f>
        <v>0</v>
      </c>
      <c r="AH240" s="31">
        <f>ROUND(IF(AQ240="0",BJ240,0),2)</f>
        <v>0</v>
      </c>
      <c r="AI240" s="12" t="s">
        <v>53</v>
      </c>
      <c r="AJ240" s="31">
        <f>IF(AN240=0,L240,0)</f>
        <v>0</v>
      </c>
      <c r="AK240" s="31">
        <f>IF(AN240=12,L240,0)</f>
        <v>0</v>
      </c>
      <c r="AL240" s="31">
        <f>IF(AN240=21,L240,0)</f>
        <v>0</v>
      </c>
      <c r="AN240" s="31">
        <v>21</v>
      </c>
      <c r="AO240" s="31">
        <f>H240*0</f>
        <v>0</v>
      </c>
      <c r="AP240" s="31">
        <f>H240*(1-0)</f>
        <v>0</v>
      </c>
      <c r="AQ240" s="34" t="s">
        <v>56</v>
      </c>
      <c r="AV240" s="31">
        <f>ROUND(AW240+AX240,2)</f>
        <v>0</v>
      </c>
      <c r="AW240" s="31">
        <f>ROUND(G240*AO240,2)</f>
        <v>0</v>
      </c>
      <c r="AX240" s="31">
        <f>ROUND(G240*AP240,2)</f>
        <v>0</v>
      </c>
      <c r="AY240" s="34" t="s">
        <v>341</v>
      </c>
      <c r="AZ240" s="34" t="s">
        <v>295</v>
      </c>
      <c r="BA240" s="12" t="s">
        <v>63</v>
      </c>
      <c r="BC240" s="31">
        <f>AW240+AX240</f>
        <v>0</v>
      </c>
      <c r="BD240" s="31">
        <f>H240/(100-BE240)*100</f>
        <v>0</v>
      </c>
      <c r="BE240" s="31">
        <v>0</v>
      </c>
      <c r="BF240" s="31">
        <f>O240</f>
        <v>5.0954999999999995</v>
      </c>
      <c r="BH240" s="31">
        <f>G240*AO240</f>
        <v>0</v>
      </c>
      <c r="BI240" s="31">
        <f>G240*AP240</f>
        <v>0</v>
      </c>
      <c r="BJ240" s="31">
        <f>G240*H240</f>
        <v>0</v>
      </c>
      <c r="BK240" s="34" t="s">
        <v>64</v>
      </c>
      <c r="BL240" s="31">
        <v>96</v>
      </c>
      <c r="BW240" s="31">
        <f>I240</f>
        <v>21</v>
      </c>
      <c r="BX240" s="4" t="s">
        <v>641</v>
      </c>
    </row>
    <row r="241" spans="1:76" x14ac:dyDescent="0.25">
      <c r="A241" s="35"/>
      <c r="D241" s="87" t="s">
        <v>344</v>
      </c>
      <c r="E241" s="36" t="s">
        <v>53</v>
      </c>
      <c r="G241" s="37">
        <v>59.25</v>
      </c>
      <c r="P241" s="38"/>
      <c r="BX241" t="s">
        <v>344</v>
      </c>
    </row>
    <row r="242" spans="1:76" x14ac:dyDescent="0.25">
      <c r="A242" s="2">
        <f>A240+1</f>
        <v>83</v>
      </c>
      <c r="B242" s="3" t="s">
        <v>53</v>
      </c>
      <c r="C242" s="3" t="s">
        <v>345</v>
      </c>
      <c r="D242" s="378" t="s">
        <v>346</v>
      </c>
      <c r="E242" s="379"/>
      <c r="F242" s="285" t="s">
        <v>134</v>
      </c>
      <c r="G242" s="287">
        <v>24</v>
      </c>
      <c r="H242" s="31">
        <v>0</v>
      </c>
      <c r="I242" s="32">
        <v>21</v>
      </c>
      <c r="J242" s="31">
        <f>ROUND(G242*AO242,2)</f>
        <v>0</v>
      </c>
      <c r="K242" s="31">
        <f>ROUND(G242*AP242,2)</f>
        <v>0</v>
      </c>
      <c r="L242" s="31">
        <f>ROUND(G242*H242,2)</f>
        <v>0</v>
      </c>
      <c r="M242" s="31">
        <f>L242*(1+BW242/100)</f>
        <v>0</v>
      </c>
      <c r="N242" s="31">
        <v>7.6619999999999994E-2</v>
      </c>
      <c r="O242" s="31">
        <f>G242*N242</f>
        <v>1.8388799999999998</v>
      </c>
      <c r="P242" s="33" t="s">
        <v>60</v>
      </c>
      <c r="Z242" s="31">
        <f>ROUND(IF(AQ242="5",BJ242,0),2)</f>
        <v>0</v>
      </c>
      <c r="AB242" s="31">
        <f>ROUND(IF(AQ242="1",BH242,0),2)</f>
        <v>0</v>
      </c>
      <c r="AC242" s="31">
        <f>ROUND(IF(AQ242="1",BI242,0),2)</f>
        <v>0</v>
      </c>
      <c r="AD242" s="31">
        <f>ROUND(IF(AQ242="7",BH242,0),2)</f>
        <v>0</v>
      </c>
      <c r="AE242" s="31">
        <f>ROUND(IF(AQ242="7",BI242,0),2)</f>
        <v>0</v>
      </c>
      <c r="AF242" s="31">
        <f>ROUND(IF(AQ242="2",BH242,0),2)</f>
        <v>0</v>
      </c>
      <c r="AG242" s="31">
        <f>ROUND(IF(AQ242="2",BI242,0),2)</f>
        <v>0</v>
      </c>
      <c r="AH242" s="31">
        <f>ROUND(IF(AQ242="0",BJ242,0),2)</f>
        <v>0</v>
      </c>
      <c r="AI242" s="12" t="s">
        <v>53</v>
      </c>
      <c r="AJ242" s="31">
        <f>IF(AN242=0,L242,0)</f>
        <v>0</v>
      </c>
      <c r="AK242" s="31">
        <f>IF(AN242=12,L242,0)</f>
        <v>0</v>
      </c>
      <c r="AL242" s="31">
        <f>IF(AN242=21,L242,0)</f>
        <v>0</v>
      </c>
      <c r="AN242" s="31">
        <v>21</v>
      </c>
      <c r="AO242" s="31">
        <f>H242*0.034893089</f>
        <v>0</v>
      </c>
      <c r="AP242" s="31">
        <f>H242*(1-0.034893089)</f>
        <v>0</v>
      </c>
      <c r="AQ242" s="34" t="s">
        <v>56</v>
      </c>
      <c r="AV242" s="31">
        <f>ROUND(AW242+AX242,2)</f>
        <v>0</v>
      </c>
      <c r="AW242" s="31">
        <f>ROUND(G242*AO242,2)</f>
        <v>0</v>
      </c>
      <c r="AX242" s="31">
        <f>ROUND(G242*AP242,2)</f>
        <v>0</v>
      </c>
      <c r="AY242" s="34" t="s">
        <v>341</v>
      </c>
      <c r="AZ242" s="34" t="s">
        <v>295</v>
      </c>
      <c r="BA242" s="12" t="s">
        <v>63</v>
      </c>
      <c r="BC242" s="31">
        <f>AW242+AX242</f>
        <v>0</v>
      </c>
      <c r="BD242" s="31">
        <f>H242/(100-BE242)*100</f>
        <v>0</v>
      </c>
      <c r="BE242" s="31">
        <v>0</v>
      </c>
      <c r="BF242" s="31">
        <f>O242</f>
        <v>1.8388799999999998</v>
      </c>
      <c r="BH242" s="31">
        <f>G242*AO242</f>
        <v>0</v>
      </c>
      <c r="BI242" s="31">
        <f>G242*AP242</f>
        <v>0</v>
      </c>
      <c r="BJ242" s="31">
        <f>G242*H242</f>
        <v>0</v>
      </c>
      <c r="BK242" s="34" t="s">
        <v>64</v>
      </c>
      <c r="BL242" s="31">
        <v>96</v>
      </c>
      <c r="BW242" s="31">
        <f>I242</f>
        <v>21</v>
      </c>
      <c r="BX242" s="4" t="s">
        <v>346</v>
      </c>
    </row>
    <row r="243" spans="1:76" x14ac:dyDescent="0.25">
      <c r="A243" s="35"/>
      <c r="D243" s="201" t="s">
        <v>347</v>
      </c>
      <c r="E243" s="286" t="s">
        <v>53</v>
      </c>
      <c r="F243" s="288"/>
      <c r="G243" s="289">
        <v>24</v>
      </c>
      <c r="P243" s="38"/>
      <c r="BX243" t="s">
        <v>347</v>
      </c>
    </row>
    <row r="244" spans="1:76" x14ac:dyDescent="0.25">
      <c r="A244" s="2">
        <f>A242+1</f>
        <v>84</v>
      </c>
      <c r="B244" s="3" t="s">
        <v>53</v>
      </c>
      <c r="C244" s="3" t="s">
        <v>348</v>
      </c>
      <c r="D244" s="378" t="s">
        <v>349</v>
      </c>
      <c r="E244" s="379"/>
      <c r="F244" s="285" t="s">
        <v>120</v>
      </c>
      <c r="G244" s="287">
        <v>2.4790000000000001</v>
      </c>
      <c r="H244" s="31">
        <v>0</v>
      </c>
      <c r="I244" s="32">
        <v>21</v>
      </c>
      <c r="J244" s="31">
        <f>ROUND(G244*AO244,2)</f>
        <v>0</v>
      </c>
      <c r="K244" s="31">
        <f>ROUND(G244*AP244,2)</f>
        <v>0</v>
      </c>
      <c r="L244" s="31">
        <f>ROUND(G244*H244,2)</f>
        <v>0</v>
      </c>
      <c r="M244" s="31">
        <f>L244*(1+BW244/100)</f>
        <v>0</v>
      </c>
      <c r="N244" s="31">
        <v>1</v>
      </c>
      <c r="O244" s="31">
        <f>G244*N244</f>
        <v>2.4790000000000001</v>
      </c>
      <c r="P244" s="33" t="s">
        <v>60</v>
      </c>
      <c r="Z244" s="31">
        <f>ROUND(IF(AQ244="5",BJ244,0),2)</f>
        <v>0</v>
      </c>
      <c r="AB244" s="31">
        <f>ROUND(IF(AQ244="1",BH244,0),2)</f>
        <v>0</v>
      </c>
      <c r="AC244" s="31">
        <f>ROUND(IF(AQ244="1",BI244,0),2)</f>
        <v>0</v>
      </c>
      <c r="AD244" s="31">
        <f>ROUND(IF(AQ244="7",BH244,0),2)</f>
        <v>0</v>
      </c>
      <c r="AE244" s="31">
        <f>ROUND(IF(AQ244="7",BI244,0),2)</f>
        <v>0</v>
      </c>
      <c r="AF244" s="31">
        <f>ROUND(IF(AQ244="2",BH244,0),2)</f>
        <v>0</v>
      </c>
      <c r="AG244" s="31">
        <f>ROUND(IF(AQ244="2",BI244,0),2)</f>
        <v>0</v>
      </c>
      <c r="AH244" s="31">
        <f>ROUND(IF(AQ244="0",BJ244,0),2)</f>
        <v>0</v>
      </c>
      <c r="AI244" s="12" t="s">
        <v>53</v>
      </c>
      <c r="AJ244" s="31">
        <f>IF(AN244=0,L244,0)</f>
        <v>0</v>
      </c>
      <c r="AK244" s="31">
        <f>IF(AN244=12,L244,0)</f>
        <v>0</v>
      </c>
      <c r="AL244" s="31">
        <f>IF(AN244=21,L244,0)</f>
        <v>0</v>
      </c>
      <c r="AN244" s="31">
        <v>21</v>
      </c>
      <c r="AO244" s="31">
        <f>H244*0</f>
        <v>0</v>
      </c>
      <c r="AP244" s="31">
        <f>H244*(1-0)</f>
        <v>0</v>
      </c>
      <c r="AQ244" s="34" t="s">
        <v>56</v>
      </c>
      <c r="AV244" s="31">
        <f>ROUND(AW244+AX244,2)</f>
        <v>0</v>
      </c>
      <c r="AW244" s="31">
        <f>ROUND(G244*AO244,2)</f>
        <v>0</v>
      </c>
      <c r="AX244" s="31">
        <f>ROUND(G244*AP244,2)</f>
        <v>0</v>
      </c>
      <c r="AY244" s="34" t="s">
        <v>341</v>
      </c>
      <c r="AZ244" s="34" t="s">
        <v>295</v>
      </c>
      <c r="BA244" s="12" t="s">
        <v>63</v>
      </c>
      <c r="BC244" s="31">
        <f>AW244+AX244</f>
        <v>0</v>
      </c>
      <c r="BD244" s="31">
        <f>H244/(100-BE244)*100</f>
        <v>0</v>
      </c>
      <c r="BE244" s="31">
        <v>0</v>
      </c>
      <c r="BF244" s="31">
        <f>O244</f>
        <v>2.4790000000000001</v>
      </c>
      <c r="BH244" s="31">
        <f>G244*AO244</f>
        <v>0</v>
      </c>
      <c r="BI244" s="31">
        <f>G244*AP244</f>
        <v>0</v>
      </c>
      <c r="BJ244" s="31">
        <f>G244*H244</f>
        <v>0</v>
      </c>
      <c r="BK244" s="34" t="s">
        <v>64</v>
      </c>
      <c r="BL244" s="31">
        <v>96</v>
      </c>
      <c r="BW244" s="31">
        <f>I244</f>
        <v>21</v>
      </c>
      <c r="BX244" s="4" t="s">
        <v>349</v>
      </c>
    </row>
    <row r="245" spans="1:76" x14ac:dyDescent="0.25">
      <c r="A245" s="35"/>
      <c r="D245" s="201" t="s">
        <v>1149</v>
      </c>
      <c r="E245" s="286" t="s">
        <v>53</v>
      </c>
      <c r="F245" s="288"/>
      <c r="G245" s="289">
        <v>7.9920000000000005E-2</v>
      </c>
      <c r="P245" s="38"/>
      <c r="BX245" t="s">
        <v>1149</v>
      </c>
    </row>
    <row r="246" spans="1:76" x14ac:dyDescent="0.25">
      <c r="A246" s="35"/>
      <c r="D246" s="201" t="s">
        <v>125</v>
      </c>
      <c r="E246" s="286" t="s">
        <v>53</v>
      </c>
      <c r="F246" s="288"/>
      <c r="G246" s="289">
        <v>0.10296000000000001</v>
      </c>
      <c r="P246" s="38"/>
      <c r="BX246" t="s">
        <v>125</v>
      </c>
    </row>
    <row r="247" spans="1:76" x14ac:dyDescent="0.25">
      <c r="A247" s="35"/>
      <c r="D247" s="201" t="s">
        <v>1150</v>
      </c>
      <c r="E247" s="286" t="s">
        <v>53</v>
      </c>
      <c r="F247" s="288"/>
      <c r="G247" s="289">
        <v>0.15768000000000001</v>
      </c>
      <c r="P247" s="38"/>
      <c r="BX247" t="s">
        <v>1150</v>
      </c>
    </row>
    <row r="248" spans="1:76" x14ac:dyDescent="0.25">
      <c r="A248" s="2">
        <f>A244+1</f>
        <v>85</v>
      </c>
      <c r="B248" s="3" t="s">
        <v>53</v>
      </c>
      <c r="C248" s="3" t="s">
        <v>350</v>
      </c>
      <c r="D248" s="310" t="s">
        <v>351</v>
      </c>
      <c r="E248" s="307"/>
      <c r="F248" s="3" t="s">
        <v>71</v>
      </c>
      <c r="G248" s="31">
        <v>1.6</v>
      </c>
      <c r="H248" s="31">
        <v>0</v>
      </c>
      <c r="I248" s="32">
        <v>21</v>
      </c>
      <c r="J248" s="31">
        <f>ROUND(G248*AO248,2)</f>
        <v>0</v>
      </c>
      <c r="K248" s="31">
        <f>ROUND(G248*AP248,2)</f>
        <v>0</v>
      </c>
      <c r="L248" s="31">
        <f>ROUND(G248*H248,2)</f>
        <v>0</v>
      </c>
      <c r="M248" s="31">
        <f>L248*(1+BW248/100)</f>
        <v>0</v>
      </c>
      <c r="N248" s="31">
        <v>2.5200000000000001E-3</v>
      </c>
      <c r="O248" s="31">
        <f>G248*N248</f>
        <v>4.032E-3</v>
      </c>
      <c r="P248" s="33" t="s">
        <v>60</v>
      </c>
      <c r="Z248" s="31">
        <f>ROUND(IF(AQ248="5",BJ248,0),2)</f>
        <v>0</v>
      </c>
      <c r="AB248" s="31">
        <f>ROUND(IF(AQ248="1",BH248,0),2)</f>
        <v>0</v>
      </c>
      <c r="AC248" s="31">
        <f>ROUND(IF(AQ248="1",BI248,0),2)</f>
        <v>0</v>
      </c>
      <c r="AD248" s="31">
        <f>ROUND(IF(AQ248="7",BH248,0),2)</f>
        <v>0</v>
      </c>
      <c r="AE248" s="31">
        <f>ROUND(IF(AQ248="7",BI248,0),2)</f>
        <v>0</v>
      </c>
      <c r="AF248" s="31">
        <f>ROUND(IF(AQ248="2",BH248,0),2)</f>
        <v>0</v>
      </c>
      <c r="AG248" s="31">
        <f>ROUND(IF(AQ248="2",BI248,0),2)</f>
        <v>0</v>
      </c>
      <c r="AH248" s="31">
        <f>ROUND(IF(AQ248="0",BJ248,0),2)</f>
        <v>0</v>
      </c>
      <c r="AI248" s="12" t="s">
        <v>53</v>
      </c>
      <c r="AJ248" s="31">
        <f>IF(AN248=0,L248,0)</f>
        <v>0</v>
      </c>
      <c r="AK248" s="31">
        <f>IF(AN248=12,L248,0)</f>
        <v>0</v>
      </c>
      <c r="AL248" s="31">
        <f>IF(AN248=21,L248,0)</f>
        <v>0</v>
      </c>
      <c r="AN248" s="31">
        <v>21</v>
      </c>
      <c r="AO248" s="31">
        <f>H248*0.379630282</f>
        <v>0</v>
      </c>
      <c r="AP248" s="31">
        <f>H248*(1-0.379630282)</f>
        <v>0</v>
      </c>
      <c r="AQ248" s="34" t="s">
        <v>56</v>
      </c>
      <c r="AV248" s="31">
        <f>ROUND(AW248+AX248,2)</f>
        <v>0</v>
      </c>
      <c r="AW248" s="31">
        <f>ROUND(G248*AO248,2)</f>
        <v>0</v>
      </c>
      <c r="AX248" s="31">
        <f>ROUND(G248*AP248,2)</f>
        <v>0</v>
      </c>
      <c r="AY248" s="34" t="s">
        <v>341</v>
      </c>
      <c r="AZ248" s="34" t="s">
        <v>295</v>
      </c>
      <c r="BA248" s="12" t="s">
        <v>63</v>
      </c>
      <c r="BC248" s="31">
        <f>AW248+AX248</f>
        <v>0</v>
      </c>
      <c r="BD248" s="31">
        <f>H248/(100-BE248)*100</f>
        <v>0</v>
      </c>
      <c r="BE248" s="31">
        <v>0</v>
      </c>
      <c r="BF248" s="31">
        <f>O248</f>
        <v>4.032E-3</v>
      </c>
      <c r="BH248" s="31">
        <f>G248*AO248</f>
        <v>0</v>
      </c>
      <c r="BI248" s="31">
        <f>G248*AP248</f>
        <v>0</v>
      </c>
      <c r="BJ248" s="31">
        <f>G248*H248</f>
        <v>0</v>
      </c>
      <c r="BK248" s="34" t="s">
        <v>64</v>
      </c>
      <c r="BL248" s="31">
        <v>96</v>
      </c>
      <c r="BW248" s="31">
        <f>I248</f>
        <v>21</v>
      </c>
      <c r="BX248" s="4" t="s">
        <v>351</v>
      </c>
    </row>
    <row r="249" spans="1:76" x14ac:dyDescent="0.25">
      <c r="A249" s="43"/>
      <c r="B249" s="44"/>
      <c r="C249" s="44"/>
      <c r="D249" s="87" t="s">
        <v>352</v>
      </c>
      <c r="E249" s="36" t="s">
        <v>53</v>
      </c>
      <c r="F249" s="44"/>
      <c r="G249" s="37">
        <v>1.6</v>
      </c>
      <c r="H249" s="44"/>
      <c r="I249" s="44"/>
      <c r="J249" s="44"/>
      <c r="K249" s="44"/>
      <c r="L249" s="44"/>
      <c r="M249" s="44"/>
      <c r="N249" s="44"/>
      <c r="O249" s="44"/>
      <c r="P249" s="45"/>
      <c r="BX249" t="s">
        <v>352</v>
      </c>
    </row>
    <row r="250" spans="1:76" x14ac:dyDescent="0.25">
      <c r="A250" s="2">
        <f>A248+1</f>
        <v>86</v>
      </c>
      <c r="B250" s="3" t="s">
        <v>53</v>
      </c>
      <c r="C250" s="3" t="s">
        <v>353</v>
      </c>
      <c r="D250" s="310" t="s">
        <v>354</v>
      </c>
      <c r="E250" s="307"/>
      <c r="F250" s="3" t="s">
        <v>134</v>
      </c>
      <c r="G250" s="31">
        <v>2</v>
      </c>
      <c r="H250" s="31">
        <v>0</v>
      </c>
      <c r="I250" s="32">
        <v>21</v>
      </c>
      <c r="J250" s="31">
        <f>ROUND(G250*AO250,2)</f>
        <v>0</v>
      </c>
      <c r="K250" s="31">
        <f>ROUND(G250*AP250,2)</f>
        <v>0</v>
      </c>
      <c r="L250" s="31">
        <f>ROUND(G250*H250,2)</f>
        <v>0</v>
      </c>
      <c r="M250" s="31">
        <f>L250*(1+BW250/100)</f>
        <v>0</v>
      </c>
      <c r="N250" s="31">
        <v>4.4999999999999998E-2</v>
      </c>
      <c r="O250" s="31">
        <f>G250*N250</f>
        <v>0.09</v>
      </c>
      <c r="P250" s="33" t="s">
        <v>60</v>
      </c>
      <c r="Z250" s="31">
        <f>ROUND(IF(AQ250="5",BJ250,0),2)</f>
        <v>0</v>
      </c>
      <c r="AB250" s="31">
        <f>ROUND(IF(AQ250="1",BH250,0),2)</f>
        <v>0</v>
      </c>
      <c r="AC250" s="31">
        <f>ROUND(IF(AQ250="1",BI250,0),2)</f>
        <v>0</v>
      </c>
      <c r="AD250" s="31">
        <f>ROUND(IF(AQ250="7",BH250,0),2)</f>
        <v>0</v>
      </c>
      <c r="AE250" s="31">
        <f>ROUND(IF(AQ250="7",BI250,0),2)</f>
        <v>0</v>
      </c>
      <c r="AF250" s="31">
        <f>ROUND(IF(AQ250="2",BH250,0),2)</f>
        <v>0</v>
      </c>
      <c r="AG250" s="31">
        <f>ROUND(IF(AQ250="2",BI250,0),2)</f>
        <v>0</v>
      </c>
      <c r="AH250" s="31">
        <f>ROUND(IF(AQ250="0",BJ250,0),2)</f>
        <v>0</v>
      </c>
      <c r="AI250" s="12" t="s">
        <v>53</v>
      </c>
      <c r="AJ250" s="31">
        <f>IF(AN250=0,L250,0)</f>
        <v>0</v>
      </c>
      <c r="AK250" s="31">
        <f>IF(AN250=12,L250,0)</f>
        <v>0</v>
      </c>
      <c r="AL250" s="31">
        <f>IF(AN250=21,L250,0)</f>
        <v>0</v>
      </c>
      <c r="AN250" s="31">
        <v>21</v>
      </c>
      <c r="AO250" s="31">
        <f>H250*0</f>
        <v>0</v>
      </c>
      <c r="AP250" s="31">
        <f>H250*(1-0)</f>
        <v>0</v>
      </c>
      <c r="AQ250" s="34" t="s">
        <v>56</v>
      </c>
      <c r="AV250" s="31">
        <f>ROUND(AW250+AX250,2)</f>
        <v>0</v>
      </c>
      <c r="AW250" s="31">
        <f>ROUND(G250*AO250,2)</f>
        <v>0</v>
      </c>
      <c r="AX250" s="31">
        <f>ROUND(G250*AP250,2)</f>
        <v>0</v>
      </c>
      <c r="AY250" s="34" t="s">
        <v>341</v>
      </c>
      <c r="AZ250" s="34" t="s">
        <v>295</v>
      </c>
      <c r="BA250" s="12" t="s">
        <v>63</v>
      </c>
      <c r="BC250" s="31">
        <f>AW250+AX250</f>
        <v>0</v>
      </c>
      <c r="BD250" s="31">
        <f>H250/(100-BE250)*100</f>
        <v>0</v>
      </c>
      <c r="BE250" s="31">
        <v>0</v>
      </c>
      <c r="BF250" s="31">
        <f>O250</f>
        <v>0.09</v>
      </c>
      <c r="BH250" s="31">
        <f>G250*AO250</f>
        <v>0</v>
      </c>
      <c r="BI250" s="31">
        <f>G250*AP250</f>
        <v>0</v>
      </c>
      <c r="BJ250" s="31">
        <f>G250*H250</f>
        <v>0</v>
      </c>
      <c r="BK250" s="34" t="s">
        <v>64</v>
      </c>
      <c r="BL250" s="31">
        <v>96</v>
      </c>
      <c r="BW250" s="31">
        <f>I250</f>
        <v>21</v>
      </c>
      <c r="BX250" s="4" t="s">
        <v>354</v>
      </c>
    </row>
    <row r="251" spans="1:76" x14ac:dyDescent="0.25">
      <c r="A251" s="35"/>
      <c r="D251" s="87" t="s">
        <v>288</v>
      </c>
      <c r="E251" s="36" t="s">
        <v>53</v>
      </c>
      <c r="G251" s="37">
        <v>2</v>
      </c>
      <c r="P251" s="38"/>
      <c r="BX251" t="s">
        <v>288</v>
      </c>
    </row>
    <row r="252" spans="1:76" x14ac:dyDescent="0.25">
      <c r="A252" s="2">
        <f>A250+1</f>
        <v>87</v>
      </c>
      <c r="B252" s="3" t="s">
        <v>53</v>
      </c>
      <c r="C252" s="3" t="s">
        <v>355</v>
      </c>
      <c r="D252" s="310" t="s">
        <v>356</v>
      </c>
      <c r="E252" s="307"/>
      <c r="F252" s="3" t="s">
        <v>134</v>
      </c>
      <c r="G252" s="31">
        <v>6</v>
      </c>
      <c r="H252" s="31">
        <v>0</v>
      </c>
      <c r="I252" s="32">
        <v>21</v>
      </c>
      <c r="J252" s="31">
        <f>ROUND(G252*AO252,2)</f>
        <v>0</v>
      </c>
      <c r="K252" s="31">
        <f>ROUND(G252*AP252,2)</f>
        <v>0</v>
      </c>
      <c r="L252" s="31">
        <f>ROUND(G252*H252,2)</f>
        <v>0</v>
      </c>
      <c r="M252" s="31">
        <f>L252*(1+BW252/100)</f>
        <v>0</v>
      </c>
      <c r="N252" s="31">
        <v>8.9999999999999993E-3</v>
      </c>
      <c r="O252" s="31">
        <f>G252*N252</f>
        <v>5.3999999999999992E-2</v>
      </c>
      <c r="P252" s="33" t="s">
        <v>60</v>
      </c>
      <c r="Z252" s="31">
        <f>ROUND(IF(AQ252="5",BJ252,0),2)</f>
        <v>0</v>
      </c>
      <c r="AB252" s="31">
        <f>ROUND(IF(AQ252="1",BH252,0),2)</f>
        <v>0</v>
      </c>
      <c r="AC252" s="31">
        <f>ROUND(IF(AQ252="1",BI252,0),2)</f>
        <v>0</v>
      </c>
      <c r="AD252" s="31">
        <f>ROUND(IF(AQ252="7",BH252,0),2)</f>
        <v>0</v>
      </c>
      <c r="AE252" s="31">
        <f>ROUND(IF(AQ252="7",BI252,0),2)</f>
        <v>0</v>
      </c>
      <c r="AF252" s="31">
        <f>ROUND(IF(AQ252="2",BH252,0),2)</f>
        <v>0</v>
      </c>
      <c r="AG252" s="31">
        <f>ROUND(IF(AQ252="2",BI252,0),2)</f>
        <v>0</v>
      </c>
      <c r="AH252" s="31">
        <f>ROUND(IF(AQ252="0",BJ252,0),2)</f>
        <v>0</v>
      </c>
      <c r="AI252" s="12" t="s">
        <v>53</v>
      </c>
      <c r="AJ252" s="31">
        <f>IF(AN252=0,L252,0)</f>
        <v>0</v>
      </c>
      <c r="AK252" s="31">
        <f>IF(AN252=12,L252,0)</f>
        <v>0</v>
      </c>
      <c r="AL252" s="31">
        <f>IF(AN252=21,L252,0)</f>
        <v>0</v>
      </c>
      <c r="AN252" s="31">
        <v>21</v>
      </c>
      <c r="AO252" s="31">
        <f>H252*0</f>
        <v>0</v>
      </c>
      <c r="AP252" s="31">
        <f>H252*(1-0)</f>
        <v>0</v>
      </c>
      <c r="AQ252" s="34" t="s">
        <v>56</v>
      </c>
      <c r="AV252" s="31">
        <f>ROUND(AW252+AX252,2)</f>
        <v>0</v>
      </c>
      <c r="AW252" s="31">
        <f>ROUND(G252*AO252,2)</f>
        <v>0</v>
      </c>
      <c r="AX252" s="31">
        <f>ROUND(G252*AP252,2)</f>
        <v>0</v>
      </c>
      <c r="AY252" s="34" t="s">
        <v>341</v>
      </c>
      <c r="AZ252" s="34" t="s">
        <v>295</v>
      </c>
      <c r="BA252" s="12" t="s">
        <v>63</v>
      </c>
      <c r="BC252" s="31">
        <f>AW252+AX252</f>
        <v>0</v>
      </c>
      <c r="BD252" s="31">
        <f>H252/(100-BE252)*100</f>
        <v>0</v>
      </c>
      <c r="BE252" s="31">
        <v>0</v>
      </c>
      <c r="BF252" s="31">
        <f>O252</f>
        <v>5.3999999999999992E-2</v>
      </c>
      <c r="BH252" s="31">
        <f>G252*AO252</f>
        <v>0</v>
      </c>
      <c r="BI252" s="31">
        <f>G252*AP252</f>
        <v>0</v>
      </c>
      <c r="BJ252" s="31">
        <f>G252*H252</f>
        <v>0</v>
      </c>
      <c r="BK252" s="34" t="s">
        <v>64</v>
      </c>
      <c r="BL252" s="31">
        <v>96</v>
      </c>
      <c r="BW252" s="31">
        <f>I252</f>
        <v>21</v>
      </c>
      <c r="BX252" s="4" t="s">
        <v>356</v>
      </c>
    </row>
    <row r="253" spans="1:76" x14ac:dyDescent="0.25">
      <c r="A253" s="35"/>
      <c r="D253" s="87" t="s">
        <v>357</v>
      </c>
      <c r="E253" s="36" t="s">
        <v>53</v>
      </c>
      <c r="G253" s="37">
        <v>6</v>
      </c>
      <c r="P253" s="38"/>
      <c r="BX253" t="s">
        <v>357</v>
      </c>
    </row>
    <row r="254" spans="1:76" x14ac:dyDescent="0.25">
      <c r="A254" s="39" t="s">
        <v>53</v>
      </c>
      <c r="B254" s="40" t="s">
        <v>53</v>
      </c>
      <c r="C254" s="40" t="s">
        <v>358</v>
      </c>
      <c r="D254" s="375" t="s">
        <v>359</v>
      </c>
      <c r="E254" s="376"/>
      <c r="F254" s="41" t="s">
        <v>3</v>
      </c>
      <c r="G254" s="41" t="s">
        <v>3</v>
      </c>
      <c r="H254" s="41" t="s">
        <v>3</v>
      </c>
      <c r="I254" s="41" t="s">
        <v>3</v>
      </c>
      <c r="J254" s="1">
        <f>SUM(J255:J255)</f>
        <v>0</v>
      </c>
      <c r="K254" s="1">
        <f>SUM(K255:K255)</f>
        <v>0</v>
      </c>
      <c r="L254" s="1">
        <f>SUM(L255:L255)</f>
        <v>0</v>
      </c>
      <c r="M254" s="1">
        <f>SUM(M255:M255)</f>
        <v>0</v>
      </c>
      <c r="N254" s="12" t="s">
        <v>53</v>
      </c>
      <c r="O254" s="1">
        <f>SUM(O255:O255)</f>
        <v>0</v>
      </c>
      <c r="P254" s="42" t="s">
        <v>53</v>
      </c>
      <c r="AI254" s="12" t="s">
        <v>53</v>
      </c>
      <c r="AS254" s="1">
        <f>SUM(AJ255:AJ255)</f>
        <v>0</v>
      </c>
      <c r="AT254" s="1">
        <f>SUM(AK255:AK255)</f>
        <v>0</v>
      </c>
      <c r="AU254" s="1">
        <f>SUM(AL255:AL255)</f>
        <v>0</v>
      </c>
      <c r="BX254" t="s">
        <v>359</v>
      </c>
    </row>
    <row r="255" spans="1:76" x14ac:dyDescent="0.25">
      <c r="A255" s="2">
        <f>A252+1</f>
        <v>88</v>
      </c>
      <c r="B255" s="3" t="s">
        <v>53</v>
      </c>
      <c r="C255" s="3" t="s">
        <v>360</v>
      </c>
      <c r="D255" s="310" t="s">
        <v>359</v>
      </c>
      <c r="E255" s="307"/>
      <c r="F255" s="3" t="s">
        <v>361</v>
      </c>
      <c r="G255" s="31">
        <v>1</v>
      </c>
      <c r="H255" s="31">
        <v>0</v>
      </c>
      <c r="I255" s="32">
        <v>21</v>
      </c>
      <c r="J255" s="31">
        <f>ROUND(G255*AO255,2)</f>
        <v>0</v>
      </c>
      <c r="K255" s="31">
        <f>ROUND(G255*AP255,2)</f>
        <v>0</v>
      </c>
      <c r="L255" s="31">
        <f>ROUND(G255*H255,2)</f>
        <v>0</v>
      </c>
      <c r="M255" s="31">
        <f>L255*(1+BW255/100)</f>
        <v>0</v>
      </c>
      <c r="N255" s="31">
        <v>0</v>
      </c>
      <c r="O255" s="31">
        <f>G255*N255</f>
        <v>0</v>
      </c>
      <c r="P255" s="33" t="s">
        <v>53</v>
      </c>
      <c r="Z255" s="31">
        <f>ROUND(IF(AQ255="5",BJ255,0),2)</f>
        <v>0</v>
      </c>
      <c r="AB255" s="31">
        <f>ROUND(IF(AQ255="1",BH255,0),2)</f>
        <v>0</v>
      </c>
      <c r="AC255" s="31">
        <f>ROUND(IF(AQ255="1",BI255,0),2)</f>
        <v>0</v>
      </c>
      <c r="AD255" s="31">
        <f>ROUND(IF(AQ255="7",BH255,0),2)</f>
        <v>0</v>
      </c>
      <c r="AE255" s="31">
        <f>ROUND(IF(AQ255="7",BI255,0),2)</f>
        <v>0</v>
      </c>
      <c r="AF255" s="31">
        <f>ROUND(IF(AQ255="2",BH255,0),2)</f>
        <v>0</v>
      </c>
      <c r="AG255" s="31">
        <f>ROUND(IF(AQ255="2",BI255,0),2)</f>
        <v>0</v>
      </c>
      <c r="AH255" s="31">
        <f>ROUND(IF(AQ255="0",BJ255,0),2)</f>
        <v>0</v>
      </c>
      <c r="AI255" s="12" t="s">
        <v>53</v>
      </c>
      <c r="AJ255" s="31">
        <f>IF(AN255=0,L255,0)</f>
        <v>0</v>
      </c>
      <c r="AK255" s="31">
        <f>IF(AN255=12,L255,0)</f>
        <v>0</v>
      </c>
      <c r="AL255" s="31">
        <f>IF(AN255=21,L255,0)</f>
        <v>0</v>
      </c>
      <c r="AN255" s="31">
        <v>21</v>
      </c>
      <c r="AO255" s="31">
        <f>H255*1</f>
        <v>0</v>
      </c>
      <c r="AP255" s="31">
        <f>H255*(1-1)</f>
        <v>0</v>
      </c>
      <c r="AQ255" s="34" t="s">
        <v>56</v>
      </c>
      <c r="AV255" s="31">
        <f>ROUND(AW255+AX255,2)</f>
        <v>0</v>
      </c>
      <c r="AW255" s="31">
        <f>ROUND(G255*AO255,2)</f>
        <v>0</v>
      </c>
      <c r="AX255" s="31">
        <f>ROUND(G255*AP255,2)</f>
        <v>0</v>
      </c>
      <c r="AY255" s="34" t="s">
        <v>362</v>
      </c>
      <c r="AZ255" s="34" t="s">
        <v>295</v>
      </c>
      <c r="BA255" s="12" t="s">
        <v>63</v>
      </c>
      <c r="BC255" s="31">
        <f>AW255+AX255</f>
        <v>0</v>
      </c>
      <c r="BD255" s="31">
        <f>H255/(100-BE255)*100</f>
        <v>0</v>
      </c>
      <c r="BE255" s="31">
        <v>0</v>
      </c>
      <c r="BF255" s="31">
        <f>O255</f>
        <v>0</v>
      </c>
      <c r="BH255" s="31">
        <f>G255*AO255</f>
        <v>0</v>
      </c>
      <c r="BI255" s="31">
        <f>G255*AP255</f>
        <v>0</v>
      </c>
      <c r="BJ255" s="31">
        <f>G255*H255</f>
        <v>0</v>
      </c>
      <c r="BK255" s="34" t="s">
        <v>64</v>
      </c>
      <c r="BL255" s="31">
        <v>98</v>
      </c>
      <c r="BW255" s="31">
        <f>I255</f>
        <v>21</v>
      </c>
      <c r="BX255" s="4" t="s">
        <v>359</v>
      </c>
    </row>
    <row r="256" spans="1:76" x14ac:dyDescent="0.25">
      <c r="A256" s="39" t="s">
        <v>53</v>
      </c>
      <c r="B256" s="40" t="s">
        <v>53</v>
      </c>
      <c r="C256" s="40" t="s">
        <v>363</v>
      </c>
      <c r="D256" s="375" t="s">
        <v>364</v>
      </c>
      <c r="E256" s="376"/>
      <c r="F256" s="41" t="s">
        <v>3</v>
      </c>
      <c r="G256" s="41" t="s">
        <v>3</v>
      </c>
      <c r="H256" s="41" t="s">
        <v>3</v>
      </c>
      <c r="I256" s="41" t="s">
        <v>3</v>
      </c>
      <c r="J256" s="1">
        <f>SUM(J257:J298)</f>
        <v>0</v>
      </c>
      <c r="K256" s="1">
        <f>SUM(K257:K298)</f>
        <v>0</v>
      </c>
      <c r="L256" s="1">
        <f>SUM(L257:L298)</f>
        <v>0</v>
      </c>
      <c r="M256" s="1">
        <f>SUM(M257:M298)</f>
        <v>0</v>
      </c>
      <c r="N256" s="12" t="s">
        <v>53</v>
      </c>
      <c r="O256" s="1">
        <f>SUM(O257:O298)</f>
        <v>0</v>
      </c>
      <c r="P256" s="42" t="s">
        <v>53</v>
      </c>
      <c r="AI256" s="12" t="s">
        <v>53</v>
      </c>
      <c r="AS256" s="1">
        <f>SUM(AJ257:AJ298)</f>
        <v>0</v>
      </c>
      <c r="AT256" s="1">
        <f>SUM(AK257:AK298)</f>
        <v>0</v>
      </c>
      <c r="AU256" s="1">
        <f>SUM(AL257:AL298)</f>
        <v>0</v>
      </c>
      <c r="BX256" t="s">
        <v>364</v>
      </c>
    </row>
    <row r="257" spans="1:76" x14ac:dyDescent="0.25">
      <c r="A257" s="2">
        <f>A255+1</f>
        <v>89</v>
      </c>
      <c r="B257" s="3" t="s">
        <v>53</v>
      </c>
      <c r="C257" s="3" t="s">
        <v>365</v>
      </c>
      <c r="D257" s="310" t="s">
        <v>366</v>
      </c>
      <c r="E257" s="307"/>
      <c r="F257" s="3" t="s">
        <v>120</v>
      </c>
      <c r="G257" s="287">
        <v>183.37074171039998</v>
      </c>
      <c r="H257" s="31">
        <v>0</v>
      </c>
      <c r="I257" s="32">
        <v>21</v>
      </c>
      <c r="J257" s="31">
        <f>ROUND(G257*AO257,2)</f>
        <v>0</v>
      </c>
      <c r="K257" s="31">
        <f>ROUND(G257*AP257,2)</f>
        <v>0</v>
      </c>
      <c r="L257" s="31">
        <f>ROUND(G257*H257,2)</f>
        <v>0</v>
      </c>
      <c r="M257" s="31">
        <f>L257*(1+BW257/100)</f>
        <v>0</v>
      </c>
      <c r="N257" s="31">
        <v>0</v>
      </c>
      <c r="O257" s="31">
        <f>G257*N257</f>
        <v>0</v>
      </c>
      <c r="P257" s="33" t="s">
        <v>60</v>
      </c>
      <c r="Z257" s="31">
        <f>ROUND(IF(AQ257="5",BJ257,0),2)</f>
        <v>0</v>
      </c>
      <c r="AB257" s="31">
        <f>ROUND(IF(AQ257="1",BH257,0),2)</f>
        <v>0</v>
      </c>
      <c r="AC257" s="31">
        <f>ROUND(IF(AQ257="1",BI257,0),2)</f>
        <v>0</v>
      </c>
      <c r="AD257" s="31">
        <f>ROUND(IF(AQ257="7",BH257,0),2)</f>
        <v>0</v>
      </c>
      <c r="AE257" s="31">
        <f>ROUND(IF(AQ257="7",BI257,0),2)</f>
        <v>0</v>
      </c>
      <c r="AF257" s="31">
        <f>ROUND(IF(AQ257="2",BH257,0),2)</f>
        <v>0</v>
      </c>
      <c r="AG257" s="31">
        <f>ROUND(IF(AQ257="2",BI257,0),2)</f>
        <v>0</v>
      </c>
      <c r="AH257" s="31">
        <f>ROUND(IF(AQ257="0",BJ257,0),2)</f>
        <v>0</v>
      </c>
      <c r="AI257" s="12" t="s">
        <v>53</v>
      </c>
      <c r="AJ257" s="31">
        <f>IF(AN257=0,L257,0)</f>
        <v>0</v>
      </c>
      <c r="AK257" s="31">
        <f>IF(AN257=12,L257,0)</f>
        <v>0</v>
      </c>
      <c r="AL257" s="31">
        <f>IF(AN257=21,L257,0)</f>
        <v>0</v>
      </c>
      <c r="AN257" s="31">
        <v>21</v>
      </c>
      <c r="AO257" s="31">
        <f>H257*0</f>
        <v>0</v>
      </c>
      <c r="AP257" s="31">
        <f>H257*(1-0)</f>
        <v>0</v>
      </c>
      <c r="AQ257" s="34" t="s">
        <v>87</v>
      </c>
      <c r="AV257" s="31">
        <f>ROUND(AW257+AX257,2)</f>
        <v>0</v>
      </c>
      <c r="AW257" s="31">
        <f>ROUND(G257*AO257,2)</f>
        <v>0</v>
      </c>
      <c r="AX257" s="31">
        <f>ROUND(G257*AP257,2)</f>
        <v>0</v>
      </c>
      <c r="AY257" s="34" t="s">
        <v>367</v>
      </c>
      <c r="AZ257" s="34" t="s">
        <v>295</v>
      </c>
      <c r="BA257" s="12" t="s">
        <v>63</v>
      </c>
      <c r="BC257" s="31">
        <f>AW257+AX257</f>
        <v>0</v>
      </c>
      <c r="BD257" s="31">
        <f>H257/(100-BE257)*100</f>
        <v>0</v>
      </c>
      <c r="BE257" s="31">
        <v>0</v>
      </c>
      <c r="BF257" s="31">
        <f>O257</f>
        <v>0</v>
      </c>
      <c r="BH257" s="31">
        <f>G257*AO257</f>
        <v>0</v>
      </c>
      <c r="BI257" s="31">
        <f>G257*AP257</f>
        <v>0</v>
      </c>
      <c r="BJ257" s="31">
        <f>G257*H257</f>
        <v>0</v>
      </c>
      <c r="BK257" s="34" t="s">
        <v>64</v>
      </c>
      <c r="BL257" s="31"/>
      <c r="BW257" s="31">
        <f>I257</f>
        <v>21</v>
      </c>
      <c r="BX257" s="4" t="s">
        <v>366</v>
      </c>
    </row>
    <row r="258" spans="1:76" x14ac:dyDescent="0.25">
      <c r="A258" s="43"/>
      <c r="B258" s="44"/>
      <c r="C258" s="44"/>
      <c r="D258" s="201" t="s">
        <v>1153</v>
      </c>
      <c r="E258" s="102" t="s">
        <v>53</v>
      </c>
      <c r="F258" s="283"/>
      <c r="G258" s="289">
        <v>8.7409497975000008</v>
      </c>
      <c r="H258" s="44"/>
      <c r="I258" s="44"/>
      <c r="J258" s="44"/>
      <c r="K258" s="44"/>
      <c r="L258" s="44"/>
      <c r="M258" s="44"/>
      <c r="N258" s="44"/>
      <c r="O258" s="44"/>
      <c r="P258" s="45"/>
      <c r="BX258" t="s">
        <v>1153</v>
      </c>
    </row>
    <row r="259" spans="1:76" x14ac:dyDescent="0.25">
      <c r="A259" s="43"/>
      <c r="B259" s="44"/>
      <c r="C259" s="44"/>
      <c r="D259" s="201" t="s">
        <v>1154</v>
      </c>
      <c r="E259" s="102" t="s">
        <v>53</v>
      </c>
      <c r="F259" s="283"/>
      <c r="G259" s="289">
        <v>5.3815187516999998</v>
      </c>
      <c r="H259" s="44"/>
      <c r="I259" s="44"/>
      <c r="J259" s="44"/>
      <c r="K259" s="44"/>
      <c r="L259" s="44"/>
      <c r="M259" s="44"/>
      <c r="N259" s="44"/>
      <c r="O259" s="44"/>
      <c r="P259" s="45"/>
      <c r="BX259" t="s">
        <v>1154</v>
      </c>
    </row>
    <row r="260" spans="1:76" x14ac:dyDescent="0.25">
      <c r="A260" s="43"/>
      <c r="B260" s="44"/>
      <c r="C260" s="44"/>
      <c r="D260" s="201" t="s">
        <v>1095</v>
      </c>
      <c r="E260" s="36" t="s">
        <v>53</v>
      </c>
      <c r="F260" s="44"/>
      <c r="G260" s="289">
        <v>1.7844669612000001</v>
      </c>
      <c r="H260" s="44"/>
      <c r="I260" s="44"/>
      <c r="J260" s="44"/>
      <c r="K260" s="44"/>
      <c r="L260" s="44"/>
      <c r="M260" s="44"/>
      <c r="N260" s="44"/>
      <c r="O260" s="44"/>
      <c r="P260" s="45"/>
      <c r="BX260" t="s">
        <v>1095</v>
      </c>
    </row>
    <row r="261" spans="1:76" x14ac:dyDescent="0.25">
      <c r="A261" s="43"/>
      <c r="B261" s="44"/>
      <c r="C261" s="44"/>
      <c r="D261" s="201" t="s">
        <v>1096</v>
      </c>
      <c r="E261" s="102" t="s">
        <v>53</v>
      </c>
      <c r="F261" s="283"/>
      <c r="G261" s="289">
        <v>2.4790000000000001</v>
      </c>
      <c r="H261" s="44"/>
      <c r="I261" s="44"/>
      <c r="J261" s="44"/>
      <c r="K261" s="44"/>
      <c r="L261" s="44"/>
      <c r="M261" s="44"/>
      <c r="N261" s="44"/>
      <c r="O261" s="44"/>
      <c r="P261" s="45"/>
      <c r="BX261" t="s">
        <v>1096</v>
      </c>
    </row>
    <row r="262" spans="1:76" x14ac:dyDescent="0.25">
      <c r="A262" s="43"/>
      <c r="B262" s="44"/>
      <c r="C262" s="44"/>
      <c r="D262" s="201" t="s">
        <v>819</v>
      </c>
      <c r="E262" s="102" t="s">
        <v>53</v>
      </c>
      <c r="F262" s="283"/>
      <c r="G262" s="289">
        <v>2.6164999999999994</v>
      </c>
      <c r="H262" s="44"/>
      <c r="I262" s="44"/>
      <c r="J262" s="44"/>
      <c r="K262" s="44"/>
      <c r="L262" s="44"/>
      <c r="M262" s="44"/>
      <c r="N262" s="44"/>
      <c r="O262" s="44"/>
      <c r="P262" s="45"/>
      <c r="BX262" t="s">
        <v>819</v>
      </c>
    </row>
    <row r="263" spans="1:76" x14ac:dyDescent="0.25">
      <c r="A263" s="43"/>
      <c r="B263" s="44"/>
      <c r="C263" s="44"/>
      <c r="D263" s="87" t="s">
        <v>368</v>
      </c>
      <c r="E263" s="36" t="s">
        <v>53</v>
      </c>
      <c r="F263" s="44"/>
      <c r="G263" s="289">
        <v>11.044</v>
      </c>
      <c r="H263" s="44"/>
      <c r="I263" s="44"/>
      <c r="J263" s="44"/>
      <c r="K263" s="44"/>
      <c r="L263" s="44"/>
      <c r="M263" s="44"/>
      <c r="N263" s="44"/>
      <c r="O263" s="44"/>
      <c r="P263" s="45"/>
      <c r="BX263" t="s">
        <v>368</v>
      </c>
    </row>
    <row r="264" spans="1:76" x14ac:dyDescent="0.25">
      <c r="A264" s="43"/>
      <c r="B264" s="44"/>
      <c r="C264" s="44"/>
      <c r="D264" s="201" t="s">
        <v>1171</v>
      </c>
      <c r="E264" s="102" t="s">
        <v>53</v>
      </c>
      <c r="F264" s="283"/>
      <c r="G264" s="289">
        <v>11.900174999999999</v>
      </c>
      <c r="H264" s="44"/>
      <c r="I264" s="44"/>
      <c r="J264" s="44"/>
      <c r="K264" s="44"/>
      <c r="L264" s="44"/>
      <c r="M264" s="44"/>
      <c r="N264" s="44"/>
      <c r="O264" s="44"/>
      <c r="P264" s="45"/>
      <c r="BX264" t="s">
        <v>1171</v>
      </c>
    </row>
    <row r="265" spans="1:76" x14ac:dyDescent="0.25">
      <c r="A265" s="43"/>
      <c r="B265" s="44"/>
      <c r="C265" s="44"/>
      <c r="D265" s="201" t="s">
        <v>1172</v>
      </c>
      <c r="E265" s="102" t="s">
        <v>53</v>
      </c>
      <c r="F265" s="283"/>
      <c r="G265" s="289">
        <v>139.42413119999998</v>
      </c>
      <c r="H265" s="44"/>
      <c r="I265" s="44"/>
      <c r="J265" s="44"/>
      <c r="K265" s="44"/>
      <c r="L265" s="44"/>
      <c r="M265" s="44"/>
      <c r="N265" s="44"/>
      <c r="O265" s="44"/>
      <c r="P265" s="45"/>
      <c r="BX265" t="s">
        <v>1172</v>
      </c>
    </row>
    <row r="266" spans="1:76" x14ac:dyDescent="0.25">
      <c r="A266" s="2">
        <f>A257+1</f>
        <v>90</v>
      </c>
      <c r="B266" s="3" t="s">
        <v>53</v>
      </c>
      <c r="C266" s="3" t="s">
        <v>369</v>
      </c>
      <c r="D266" s="310" t="s">
        <v>370</v>
      </c>
      <c r="E266" s="307"/>
      <c r="F266" s="3" t="s">
        <v>120</v>
      </c>
      <c r="G266" s="287">
        <v>2584.9011256559997</v>
      </c>
      <c r="H266" s="31">
        <v>0</v>
      </c>
      <c r="I266" s="32">
        <v>21</v>
      </c>
      <c r="J266" s="31">
        <f>ROUND(G266*AO266,2)</f>
        <v>0</v>
      </c>
      <c r="K266" s="31">
        <f>ROUND(G266*AP266,2)</f>
        <v>0</v>
      </c>
      <c r="L266" s="31">
        <f>ROUND(G266*H266,2)</f>
        <v>0</v>
      </c>
      <c r="M266" s="31">
        <f>L266*(1+BW266/100)</f>
        <v>0</v>
      </c>
      <c r="N266" s="31">
        <v>0</v>
      </c>
      <c r="O266" s="31">
        <f>G266*N266</f>
        <v>0</v>
      </c>
      <c r="P266" s="33" t="s">
        <v>60</v>
      </c>
      <c r="Z266" s="31">
        <f>ROUND(IF(AQ266="5",BJ266,0),2)</f>
        <v>0</v>
      </c>
      <c r="AB266" s="31">
        <f>ROUND(IF(AQ266="1",BH266,0),2)</f>
        <v>0</v>
      </c>
      <c r="AC266" s="31">
        <f>ROUND(IF(AQ266="1",BI266,0),2)</f>
        <v>0</v>
      </c>
      <c r="AD266" s="31">
        <f>ROUND(IF(AQ266="7",BH266,0),2)</f>
        <v>0</v>
      </c>
      <c r="AE266" s="31">
        <f>ROUND(IF(AQ266="7",BI266,0),2)</f>
        <v>0</v>
      </c>
      <c r="AF266" s="31">
        <f>ROUND(IF(AQ266="2",BH266,0),2)</f>
        <v>0</v>
      </c>
      <c r="AG266" s="31">
        <f>ROUND(IF(AQ266="2",BI266,0),2)</f>
        <v>0</v>
      </c>
      <c r="AH266" s="31">
        <f>ROUND(IF(AQ266="0",BJ266,0),2)</f>
        <v>0</v>
      </c>
      <c r="AI266" s="12" t="s">
        <v>53</v>
      </c>
      <c r="AJ266" s="31">
        <f>IF(AN266=0,L266,0)</f>
        <v>0</v>
      </c>
      <c r="AK266" s="31">
        <f>IF(AN266=12,L266,0)</f>
        <v>0</v>
      </c>
      <c r="AL266" s="31">
        <f>IF(AN266=21,L266,0)</f>
        <v>0</v>
      </c>
      <c r="AN266" s="31">
        <v>21</v>
      </c>
      <c r="AO266" s="31">
        <f>H266*0</f>
        <v>0</v>
      </c>
      <c r="AP266" s="31">
        <f>H266*(1-0)</f>
        <v>0</v>
      </c>
      <c r="AQ266" s="34" t="s">
        <v>87</v>
      </c>
      <c r="AV266" s="31">
        <f>ROUND(AW266+AX266,2)</f>
        <v>0</v>
      </c>
      <c r="AW266" s="31">
        <f>ROUND(G266*AO266,2)</f>
        <v>0</v>
      </c>
      <c r="AX266" s="31">
        <f>ROUND(G266*AP266,2)</f>
        <v>0</v>
      </c>
      <c r="AY266" s="34" t="s">
        <v>367</v>
      </c>
      <c r="AZ266" s="34" t="s">
        <v>295</v>
      </c>
      <c r="BA266" s="12" t="s">
        <v>63</v>
      </c>
      <c r="BC266" s="31">
        <f>AW266+AX266</f>
        <v>0</v>
      </c>
      <c r="BD266" s="31">
        <f>H266/(100-BE266)*100</f>
        <v>0</v>
      </c>
      <c r="BE266" s="31">
        <v>0</v>
      </c>
      <c r="BF266" s="31">
        <f>O266</f>
        <v>0</v>
      </c>
      <c r="BH266" s="31">
        <f>G266*AO266</f>
        <v>0</v>
      </c>
      <c r="BI266" s="31">
        <f>G266*AP266</f>
        <v>0</v>
      </c>
      <c r="BJ266" s="31">
        <f>G266*H266</f>
        <v>0</v>
      </c>
      <c r="BK266" s="34" t="s">
        <v>64</v>
      </c>
      <c r="BL266" s="31"/>
      <c r="BW266" s="31">
        <f>I266</f>
        <v>21</v>
      </c>
      <c r="BX266" s="4" t="s">
        <v>370</v>
      </c>
    </row>
    <row r="267" spans="1:76" x14ac:dyDescent="0.25">
      <c r="A267" s="43"/>
      <c r="B267" s="44"/>
      <c r="C267" s="44"/>
      <c r="D267" s="201" t="s">
        <v>1155</v>
      </c>
      <c r="E267" s="102" t="s">
        <v>53</v>
      </c>
      <c r="F267" s="283"/>
      <c r="G267" s="289">
        <v>131.1142469625</v>
      </c>
      <c r="H267" s="44"/>
      <c r="I267" s="44"/>
      <c r="J267" s="44"/>
      <c r="K267" s="44"/>
      <c r="L267" s="44"/>
      <c r="M267" s="44"/>
      <c r="N267" s="44"/>
      <c r="O267" s="44"/>
      <c r="P267" s="45"/>
      <c r="BX267" t="s">
        <v>1155</v>
      </c>
    </row>
    <row r="268" spans="1:76" x14ac:dyDescent="0.25">
      <c r="A268" s="43"/>
      <c r="B268" s="44"/>
      <c r="C268" s="44"/>
      <c r="D268" s="201" t="s">
        <v>1156</v>
      </c>
      <c r="E268" s="102" t="s">
        <v>53</v>
      </c>
      <c r="F268" s="283"/>
      <c r="G268" s="289">
        <v>80.722781275499997</v>
      </c>
      <c r="H268" s="44"/>
      <c r="I268" s="44"/>
      <c r="J268" s="44"/>
      <c r="K268" s="44"/>
      <c r="L268" s="44"/>
      <c r="M268" s="44"/>
      <c r="N268" s="44"/>
      <c r="O268" s="44"/>
      <c r="P268" s="45"/>
      <c r="BX268" t="s">
        <v>1156</v>
      </c>
    </row>
    <row r="269" spans="1:76" x14ac:dyDescent="0.25">
      <c r="A269" s="43"/>
      <c r="B269" s="44"/>
      <c r="C269" s="44"/>
      <c r="D269" s="87" t="s">
        <v>1097</v>
      </c>
      <c r="E269" s="36" t="s">
        <v>53</v>
      </c>
      <c r="F269" s="44"/>
      <c r="G269" s="289">
        <v>26.767004418000003</v>
      </c>
      <c r="H269" s="44"/>
      <c r="I269" s="44"/>
      <c r="J269" s="44"/>
      <c r="K269" s="44"/>
      <c r="L269" s="44"/>
      <c r="M269" s="44"/>
      <c r="N269" s="44"/>
      <c r="O269" s="44"/>
      <c r="P269" s="45"/>
      <c r="BX269" t="s">
        <v>1097</v>
      </c>
    </row>
    <row r="270" spans="1:76" x14ac:dyDescent="0.25">
      <c r="A270" s="43"/>
      <c r="B270" s="44"/>
      <c r="C270" s="44"/>
      <c r="D270" s="201" t="s">
        <v>1098</v>
      </c>
      <c r="E270" s="102" t="s">
        <v>53</v>
      </c>
      <c r="F270" s="283"/>
      <c r="G270" s="289">
        <v>37.185000000000002</v>
      </c>
      <c r="H270" s="44"/>
      <c r="I270" s="44"/>
      <c r="J270" s="44"/>
      <c r="K270" s="44"/>
      <c r="L270" s="44"/>
      <c r="M270" s="44"/>
      <c r="N270" s="44"/>
      <c r="O270" s="44"/>
      <c r="P270" s="45"/>
      <c r="BX270" t="s">
        <v>1098</v>
      </c>
    </row>
    <row r="271" spans="1:76" x14ac:dyDescent="0.25">
      <c r="A271" s="43"/>
      <c r="B271" s="44"/>
      <c r="C271" s="44"/>
      <c r="D271" s="201" t="s">
        <v>1099</v>
      </c>
      <c r="E271" s="102" t="s">
        <v>53</v>
      </c>
      <c r="F271" s="283"/>
      <c r="G271" s="289">
        <v>39.247499999999988</v>
      </c>
      <c r="H271" s="44"/>
      <c r="I271" s="44"/>
      <c r="J271" s="44"/>
      <c r="K271" s="44"/>
      <c r="L271" s="44"/>
      <c r="M271" s="44"/>
      <c r="N271" s="44"/>
      <c r="O271" s="44"/>
      <c r="P271" s="45"/>
      <c r="BX271" t="s">
        <v>1099</v>
      </c>
    </row>
    <row r="272" spans="1:76" x14ac:dyDescent="0.25">
      <c r="A272" s="43"/>
      <c r="B272" s="44"/>
      <c r="C272" s="44"/>
      <c r="D272" s="201" t="s">
        <v>1174</v>
      </c>
      <c r="E272" s="102" t="s">
        <v>53</v>
      </c>
      <c r="F272" s="283"/>
      <c r="G272" s="289">
        <v>178.50262499999999</v>
      </c>
      <c r="H272" s="44"/>
      <c r="I272" s="44"/>
      <c r="J272" s="44"/>
      <c r="K272" s="44"/>
      <c r="L272" s="44"/>
      <c r="M272" s="44"/>
      <c r="N272" s="44"/>
      <c r="O272" s="44"/>
      <c r="P272" s="45"/>
      <c r="BX272" t="s">
        <v>1174</v>
      </c>
    </row>
    <row r="273" spans="1:76" x14ac:dyDescent="0.25">
      <c r="A273" s="43"/>
      <c r="B273" s="44"/>
      <c r="C273" s="44"/>
      <c r="D273" s="201" t="s">
        <v>1173</v>
      </c>
      <c r="E273" s="102" t="s">
        <v>53</v>
      </c>
      <c r="F273" s="283"/>
      <c r="G273" s="289">
        <v>2091.3619679999997</v>
      </c>
      <c r="H273" s="44"/>
      <c r="I273" s="44"/>
      <c r="J273" s="44"/>
      <c r="K273" s="44"/>
      <c r="L273" s="44"/>
      <c r="M273" s="44"/>
      <c r="N273" s="44"/>
      <c r="O273" s="44"/>
      <c r="P273" s="45"/>
      <c r="BX273" t="s">
        <v>1173</v>
      </c>
    </row>
    <row r="274" spans="1:76" x14ac:dyDescent="0.25">
      <c r="A274" s="2">
        <f>A266+1</f>
        <v>91</v>
      </c>
      <c r="B274" s="3" t="s">
        <v>53</v>
      </c>
      <c r="C274" s="3" t="s">
        <v>371</v>
      </c>
      <c r="D274" s="310" t="s">
        <v>372</v>
      </c>
      <c r="E274" s="307"/>
      <c r="F274" s="3" t="s">
        <v>120</v>
      </c>
      <c r="G274" s="287">
        <v>183.37074171039998</v>
      </c>
      <c r="H274" s="31">
        <v>0</v>
      </c>
      <c r="I274" s="32">
        <v>21</v>
      </c>
      <c r="J274" s="31">
        <f>ROUND(G274*AO274,2)</f>
        <v>0</v>
      </c>
      <c r="K274" s="31">
        <f>ROUND(G274*AP274,2)</f>
        <v>0</v>
      </c>
      <c r="L274" s="31">
        <f>ROUND(G274*H274,2)</f>
        <v>0</v>
      </c>
      <c r="M274" s="31">
        <f>L274*(1+BW274/100)</f>
        <v>0</v>
      </c>
      <c r="N274" s="31">
        <v>0</v>
      </c>
      <c r="O274" s="31">
        <f>G274*N274</f>
        <v>0</v>
      </c>
      <c r="P274" s="33" t="s">
        <v>60</v>
      </c>
      <c r="Z274" s="31">
        <f>ROUND(IF(AQ274="5",BJ274,0),2)</f>
        <v>0</v>
      </c>
      <c r="AB274" s="31">
        <f>ROUND(IF(AQ274="1",BH274,0),2)</f>
        <v>0</v>
      </c>
      <c r="AC274" s="31">
        <f>ROUND(IF(AQ274="1",BI274,0),2)</f>
        <v>0</v>
      </c>
      <c r="AD274" s="31">
        <f>ROUND(IF(AQ274="7",BH274,0),2)</f>
        <v>0</v>
      </c>
      <c r="AE274" s="31">
        <f>ROUND(IF(AQ274="7",BI274,0),2)</f>
        <v>0</v>
      </c>
      <c r="AF274" s="31">
        <f>ROUND(IF(AQ274="2",BH274,0),2)</f>
        <v>0</v>
      </c>
      <c r="AG274" s="31">
        <f>ROUND(IF(AQ274="2",BI274,0),2)</f>
        <v>0</v>
      </c>
      <c r="AH274" s="31">
        <f>ROUND(IF(AQ274="0",BJ274,0),2)</f>
        <v>0</v>
      </c>
      <c r="AI274" s="12" t="s">
        <v>53</v>
      </c>
      <c r="AJ274" s="31">
        <f>IF(AN274=0,L274,0)</f>
        <v>0</v>
      </c>
      <c r="AK274" s="31">
        <f>IF(AN274=12,L274,0)</f>
        <v>0</v>
      </c>
      <c r="AL274" s="31">
        <f>IF(AN274=21,L274,0)</f>
        <v>0</v>
      </c>
      <c r="AN274" s="31">
        <v>21</v>
      </c>
      <c r="AO274" s="31">
        <f>H274*0</f>
        <v>0</v>
      </c>
      <c r="AP274" s="31">
        <f>H274*(1-0)</f>
        <v>0</v>
      </c>
      <c r="AQ274" s="34" t="s">
        <v>87</v>
      </c>
      <c r="AV274" s="31">
        <f>ROUND(AW274+AX274,2)</f>
        <v>0</v>
      </c>
      <c r="AW274" s="31">
        <f>ROUND(G274*AO274,2)</f>
        <v>0</v>
      </c>
      <c r="AX274" s="31">
        <f>ROUND(G274*AP274,2)</f>
        <v>0</v>
      </c>
      <c r="AY274" s="34" t="s">
        <v>367</v>
      </c>
      <c r="AZ274" s="34" t="s">
        <v>295</v>
      </c>
      <c r="BA274" s="12" t="s">
        <v>63</v>
      </c>
      <c r="BC274" s="31">
        <f>AW274+AX274</f>
        <v>0</v>
      </c>
      <c r="BD274" s="31">
        <f>H274/(100-BE274)*100</f>
        <v>0</v>
      </c>
      <c r="BE274" s="31">
        <v>0</v>
      </c>
      <c r="BF274" s="31">
        <f>O274</f>
        <v>0</v>
      </c>
      <c r="BH274" s="31">
        <f>G274*AO274</f>
        <v>0</v>
      </c>
      <c r="BI274" s="31">
        <f>G274*AP274</f>
        <v>0</v>
      </c>
      <c r="BJ274" s="31">
        <f>G274*H274</f>
        <v>0</v>
      </c>
      <c r="BK274" s="34" t="s">
        <v>64</v>
      </c>
      <c r="BL274" s="31"/>
      <c r="BW274" s="31">
        <f>I274</f>
        <v>21</v>
      </c>
      <c r="BX274" s="4" t="s">
        <v>372</v>
      </c>
    </row>
    <row r="275" spans="1:76" x14ac:dyDescent="0.25">
      <c r="A275" s="43"/>
      <c r="B275" s="44"/>
      <c r="C275" s="44"/>
      <c r="D275" s="87" t="s">
        <v>1153</v>
      </c>
      <c r="E275" s="36" t="s">
        <v>53</v>
      </c>
      <c r="F275" s="44"/>
      <c r="G275" s="289">
        <v>8.7409497975000008</v>
      </c>
      <c r="H275" s="44"/>
      <c r="I275" s="44"/>
      <c r="J275" s="44"/>
      <c r="K275" s="44"/>
      <c r="L275" s="44"/>
      <c r="M275" s="44"/>
      <c r="N275" s="44"/>
      <c r="O275" s="44"/>
      <c r="P275" s="45"/>
      <c r="BX275" t="s">
        <v>1153</v>
      </c>
    </row>
    <row r="276" spans="1:76" x14ac:dyDescent="0.25">
      <c r="A276" s="43"/>
      <c r="B276" s="44"/>
      <c r="C276" s="44"/>
      <c r="D276" s="87" t="s">
        <v>1154</v>
      </c>
      <c r="E276" s="36" t="s">
        <v>53</v>
      </c>
      <c r="F276" s="44"/>
      <c r="G276" s="289">
        <v>5.3815187516999998</v>
      </c>
      <c r="H276" s="44"/>
      <c r="I276" s="44"/>
      <c r="J276" s="44"/>
      <c r="K276" s="44"/>
      <c r="L276" s="44"/>
      <c r="M276" s="44"/>
      <c r="N276" s="44"/>
      <c r="O276" s="44"/>
      <c r="P276" s="45"/>
      <c r="BX276" t="s">
        <v>1154</v>
      </c>
    </row>
    <row r="277" spans="1:76" x14ac:dyDescent="0.25">
      <c r="A277" s="43"/>
      <c r="B277" s="44"/>
      <c r="C277" s="44"/>
      <c r="D277" s="87" t="s">
        <v>1095</v>
      </c>
      <c r="E277" s="36" t="s">
        <v>53</v>
      </c>
      <c r="F277" s="44"/>
      <c r="G277" s="289">
        <v>1.7844669612000001</v>
      </c>
      <c r="H277" s="44"/>
      <c r="I277" s="44"/>
      <c r="J277" s="44"/>
      <c r="K277" s="44"/>
      <c r="L277" s="44"/>
      <c r="M277" s="44"/>
      <c r="N277" s="44"/>
      <c r="O277" s="44"/>
      <c r="P277" s="45"/>
      <c r="BX277" t="s">
        <v>1095</v>
      </c>
    </row>
    <row r="278" spans="1:76" x14ac:dyDescent="0.25">
      <c r="A278" s="43"/>
      <c r="B278" s="44"/>
      <c r="C278" s="44"/>
      <c r="D278" s="87" t="s">
        <v>1096</v>
      </c>
      <c r="E278" s="36" t="s">
        <v>53</v>
      </c>
      <c r="F278" s="44"/>
      <c r="G278" s="289">
        <v>2.4790000000000001</v>
      </c>
      <c r="H278" s="44"/>
      <c r="I278" s="44"/>
      <c r="J278" s="44"/>
      <c r="K278" s="44"/>
      <c r="L278" s="44"/>
      <c r="M278" s="44"/>
      <c r="N278" s="44"/>
      <c r="O278" s="44"/>
      <c r="P278" s="45"/>
      <c r="BX278" t="s">
        <v>1096</v>
      </c>
    </row>
    <row r="279" spans="1:76" x14ac:dyDescent="0.25">
      <c r="A279" s="43"/>
      <c r="B279" s="44"/>
      <c r="C279" s="44"/>
      <c r="D279" s="87" t="s">
        <v>819</v>
      </c>
      <c r="E279" s="36" t="s">
        <v>53</v>
      </c>
      <c r="F279" s="44"/>
      <c r="G279" s="289">
        <v>2.6164999999999994</v>
      </c>
      <c r="H279" s="44"/>
      <c r="I279" s="44"/>
      <c r="J279" s="44"/>
      <c r="K279" s="44"/>
      <c r="L279" s="44"/>
      <c r="M279" s="44"/>
      <c r="N279" s="44"/>
      <c r="O279" s="44"/>
      <c r="P279" s="45"/>
      <c r="BX279" t="s">
        <v>819</v>
      </c>
    </row>
    <row r="280" spans="1:76" x14ac:dyDescent="0.25">
      <c r="A280" s="43"/>
      <c r="B280" s="44"/>
      <c r="C280" s="44"/>
      <c r="D280" s="87" t="s">
        <v>368</v>
      </c>
      <c r="E280" s="36" t="s">
        <v>53</v>
      </c>
      <c r="F280" s="44"/>
      <c r="G280" s="289">
        <v>11.044</v>
      </c>
      <c r="H280" s="44"/>
      <c r="I280" s="44"/>
      <c r="J280" s="44"/>
      <c r="K280" s="44"/>
      <c r="L280" s="44"/>
      <c r="M280" s="44"/>
      <c r="N280" s="44"/>
      <c r="O280" s="44"/>
      <c r="P280" s="45"/>
      <c r="BX280" t="s">
        <v>368</v>
      </c>
    </row>
    <row r="281" spans="1:76" x14ac:dyDescent="0.25">
      <c r="A281" s="43"/>
      <c r="B281" s="44"/>
      <c r="C281" s="44"/>
      <c r="D281" s="87" t="s">
        <v>1171</v>
      </c>
      <c r="E281" s="36" t="s">
        <v>53</v>
      </c>
      <c r="F281" s="44"/>
      <c r="G281" s="289">
        <v>11.900174999999999</v>
      </c>
      <c r="H281" s="44"/>
      <c r="I281" s="44"/>
      <c r="J281" s="44"/>
      <c r="K281" s="44"/>
      <c r="L281" s="44"/>
      <c r="M281" s="44"/>
      <c r="N281" s="44"/>
      <c r="O281" s="44"/>
      <c r="P281" s="45"/>
      <c r="BX281" t="s">
        <v>1171</v>
      </c>
    </row>
    <row r="282" spans="1:76" x14ac:dyDescent="0.25">
      <c r="A282" s="43"/>
      <c r="B282" s="44"/>
      <c r="C282" s="44"/>
      <c r="D282" s="87" t="s">
        <v>1172</v>
      </c>
      <c r="E282" s="36" t="s">
        <v>53</v>
      </c>
      <c r="F282" s="44"/>
      <c r="G282" s="289">
        <v>139.42413119999998</v>
      </c>
      <c r="H282" s="44"/>
      <c r="I282" s="44"/>
      <c r="J282" s="44"/>
      <c r="K282" s="44"/>
      <c r="L282" s="44"/>
      <c r="M282" s="44"/>
      <c r="N282" s="44"/>
      <c r="O282" s="44"/>
      <c r="P282" s="45"/>
      <c r="BX282" t="s">
        <v>1172</v>
      </c>
    </row>
    <row r="283" spans="1:76" x14ac:dyDescent="0.25">
      <c r="A283" s="2">
        <f>A274+1</f>
        <v>92</v>
      </c>
      <c r="B283" s="3" t="s">
        <v>53</v>
      </c>
      <c r="C283" s="3" t="s">
        <v>373</v>
      </c>
      <c r="D283" s="310" t="s">
        <v>374</v>
      </c>
      <c r="E283" s="307"/>
      <c r="F283" s="3" t="s">
        <v>120</v>
      </c>
      <c r="G283" s="287">
        <v>3115.7123524071994</v>
      </c>
      <c r="H283" s="31">
        <v>0</v>
      </c>
      <c r="I283" s="32">
        <v>21</v>
      </c>
      <c r="J283" s="31">
        <f>ROUND(G283*AO283,2)</f>
        <v>0</v>
      </c>
      <c r="K283" s="31">
        <f>ROUND(G283*AP283,2)</f>
        <v>0</v>
      </c>
      <c r="L283" s="31">
        <f>ROUND(G283*H283,2)</f>
        <v>0</v>
      </c>
      <c r="M283" s="31">
        <f>L283*(1+BW283/100)</f>
        <v>0</v>
      </c>
      <c r="N283" s="31">
        <v>0</v>
      </c>
      <c r="O283" s="31">
        <f>G283*N283</f>
        <v>0</v>
      </c>
      <c r="P283" s="33" t="s">
        <v>60</v>
      </c>
      <c r="Z283" s="31">
        <f>ROUND(IF(AQ283="5",BJ283,0),2)</f>
        <v>0</v>
      </c>
      <c r="AB283" s="31">
        <f>ROUND(IF(AQ283="1",BH283,0),2)</f>
        <v>0</v>
      </c>
      <c r="AC283" s="31">
        <f>ROUND(IF(AQ283="1",BI283,0),2)</f>
        <v>0</v>
      </c>
      <c r="AD283" s="31">
        <f>ROUND(IF(AQ283="7",BH283,0),2)</f>
        <v>0</v>
      </c>
      <c r="AE283" s="31">
        <f>ROUND(IF(AQ283="7",BI283,0),2)</f>
        <v>0</v>
      </c>
      <c r="AF283" s="31">
        <f>ROUND(IF(AQ283="2",BH283,0),2)</f>
        <v>0</v>
      </c>
      <c r="AG283" s="31">
        <f>ROUND(IF(AQ283="2",BI283,0),2)</f>
        <v>0</v>
      </c>
      <c r="AH283" s="31">
        <f>ROUND(IF(AQ283="0",BJ283,0),2)</f>
        <v>0</v>
      </c>
      <c r="AI283" s="12" t="s">
        <v>53</v>
      </c>
      <c r="AJ283" s="31">
        <f>IF(AN283=0,L283,0)</f>
        <v>0</v>
      </c>
      <c r="AK283" s="31">
        <f>IF(AN283=12,L283,0)</f>
        <v>0</v>
      </c>
      <c r="AL283" s="31">
        <f>IF(AN283=21,L283,0)</f>
        <v>0</v>
      </c>
      <c r="AN283" s="31">
        <v>21</v>
      </c>
      <c r="AO283" s="31">
        <f>H283*0</f>
        <v>0</v>
      </c>
      <c r="AP283" s="31">
        <f>H283*(1-0)</f>
        <v>0</v>
      </c>
      <c r="AQ283" s="34" t="s">
        <v>87</v>
      </c>
      <c r="AV283" s="31">
        <f>ROUND(AW283+AX283,2)</f>
        <v>0</v>
      </c>
      <c r="AW283" s="31">
        <f>ROUND(G283*AO283,2)</f>
        <v>0</v>
      </c>
      <c r="AX283" s="31">
        <f>ROUND(G283*AP283,2)</f>
        <v>0</v>
      </c>
      <c r="AY283" s="34" t="s">
        <v>367</v>
      </c>
      <c r="AZ283" s="34" t="s">
        <v>295</v>
      </c>
      <c r="BA283" s="12" t="s">
        <v>63</v>
      </c>
      <c r="BC283" s="31">
        <f>AW283+AX283</f>
        <v>0</v>
      </c>
      <c r="BD283" s="31">
        <f>H283/(100-BE283)*100</f>
        <v>0</v>
      </c>
      <c r="BE283" s="31">
        <v>0</v>
      </c>
      <c r="BF283" s="31">
        <f>O283</f>
        <v>0</v>
      </c>
      <c r="BH283" s="31">
        <f>G283*AO283</f>
        <v>0</v>
      </c>
      <c r="BI283" s="31">
        <f>G283*AP283</f>
        <v>0</v>
      </c>
      <c r="BJ283" s="31">
        <f>G283*H283</f>
        <v>0</v>
      </c>
      <c r="BK283" s="34" t="s">
        <v>64</v>
      </c>
      <c r="BL283" s="31"/>
      <c r="BW283" s="31">
        <f>I283</f>
        <v>21</v>
      </c>
      <c r="BX283" s="4" t="s">
        <v>374</v>
      </c>
    </row>
    <row r="284" spans="1:76" x14ac:dyDescent="0.25">
      <c r="A284" s="43"/>
      <c r="B284" s="44"/>
      <c r="C284" s="44"/>
      <c r="D284" s="87" t="s">
        <v>1153</v>
      </c>
      <c r="E284" s="36" t="s">
        <v>53</v>
      </c>
      <c r="F284" s="44"/>
      <c r="G284" s="289">
        <v>87.409497975000008</v>
      </c>
      <c r="H284" s="44"/>
      <c r="I284" s="44"/>
      <c r="J284" s="44"/>
      <c r="K284" s="44"/>
      <c r="L284" s="44"/>
      <c r="M284" s="44"/>
      <c r="N284" s="44"/>
      <c r="O284" s="44"/>
      <c r="P284" s="45"/>
      <c r="BX284" t="s">
        <v>1153</v>
      </c>
    </row>
    <row r="285" spans="1:76" x14ac:dyDescent="0.25">
      <c r="A285" s="43"/>
      <c r="B285" s="44"/>
      <c r="C285" s="44"/>
      <c r="D285" s="87" t="s">
        <v>1154</v>
      </c>
      <c r="E285" s="36" t="s">
        <v>53</v>
      </c>
      <c r="F285" s="44"/>
      <c r="G285" s="289">
        <v>96.867337530599997</v>
      </c>
      <c r="H285" s="44"/>
      <c r="I285" s="44"/>
      <c r="J285" s="44"/>
      <c r="K285" s="44"/>
      <c r="L285" s="44"/>
      <c r="M285" s="44"/>
      <c r="N285" s="44"/>
      <c r="O285" s="44"/>
      <c r="P285" s="45"/>
      <c r="BX285" t="s">
        <v>1154</v>
      </c>
    </row>
    <row r="286" spans="1:76" x14ac:dyDescent="0.25">
      <c r="A286" s="43"/>
      <c r="B286" s="44"/>
      <c r="C286" s="44"/>
      <c r="D286" s="87" t="s">
        <v>1095</v>
      </c>
      <c r="E286" s="36" t="s">
        <v>53</v>
      </c>
      <c r="F286" s="44"/>
      <c r="G286" s="289">
        <v>32.120405301600002</v>
      </c>
      <c r="H286" s="44"/>
      <c r="I286" s="44"/>
      <c r="J286" s="44"/>
      <c r="K286" s="44"/>
      <c r="L286" s="44"/>
      <c r="M286" s="44"/>
      <c r="N286" s="44"/>
      <c r="O286" s="44"/>
      <c r="P286" s="45"/>
      <c r="BX286" t="s">
        <v>1095</v>
      </c>
    </row>
    <row r="287" spans="1:76" x14ac:dyDescent="0.25">
      <c r="A287" s="43"/>
      <c r="B287" s="44"/>
      <c r="C287" s="44"/>
      <c r="D287" s="87" t="s">
        <v>1096</v>
      </c>
      <c r="E287" s="36" t="s">
        <v>53</v>
      </c>
      <c r="F287" s="44"/>
      <c r="G287" s="37">
        <v>24.79</v>
      </c>
      <c r="H287" s="44"/>
      <c r="I287" s="44"/>
      <c r="J287" s="44"/>
      <c r="K287" s="44"/>
      <c r="L287" s="44"/>
      <c r="M287" s="44"/>
      <c r="N287" s="44"/>
      <c r="O287" s="44"/>
      <c r="P287" s="45"/>
      <c r="BX287" t="s">
        <v>1096</v>
      </c>
    </row>
    <row r="288" spans="1:76" x14ac:dyDescent="0.25">
      <c r="A288" s="43"/>
      <c r="B288" s="44"/>
      <c r="C288" s="44"/>
      <c r="D288" s="87" t="s">
        <v>819</v>
      </c>
      <c r="E288" s="36" t="s">
        <v>53</v>
      </c>
      <c r="F288" s="44"/>
      <c r="G288" s="37">
        <v>47.096999999999987</v>
      </c>
      <c r="H288" s="44"/>
      <c r="I288" s="44"/>
      <c r="J288" s="44"/>
      <c r="K288" s="44"/>
      <c r="L288" s="44"/>
      <c r="M288" s="44"/>
      <c r="N288" s="44"/>
      <c r="O288" s="44"/>
      <c r="P288" s="45"/>
      <c r="BX288" t="s">
        <v>819</v>
      </c>
    </row>
    <row r="289" spans="1:76" x14ac:dyDescent="0.25">
      <c r="A289" s="43"/>
      <c r="B289" s="44"/>
      <c r="C289" s="44"/>
      <c r="D289" s="87" t="s">
        <v>368</v>
      </c>
      <c r="E289" s="36" t="s">
        <v>53</v>
      </c>
      <c r="F289" s="44"/>
      <c r="G289" s="37">
        <v>198.792</v>
      </c>
      <c r="H289" s="44"/>
      <c r="I289" s="44"/>
      <c r="J289" s="44"/>
      <c r="K289" s="44"/>
      <c r="L289" s="44"/>
      <c r="M289" s="44"/>
      <c r="N289" s="44"/>
      <c r="O289" s="44"/>
      <c r="P289" s="45"/>
      <c r="BX289" t="s">
        <v>368</v>
      </c>
    </row>
    <row r="290" spans="1:76" x14ac:dyDescent="0.25">
      <c r="A290" s="43"/>
      <c r="B290" s="44"/>
      <c r="C290" s="44"/>
      <c r="D290" s="87" t="s">
        <v>1171</v>
      </c>
      <c r="E290" s="36" t="s">
        <v>53</v>
      </c>
      <c r="F290" s="44"/>
      <c r="G290" s="37">
        <v>119.00174999999999</v>
      </c>
      <c r="H290" s="44"/>
      <c r="I290" s="44"/>
      <c r="J290" s="44"/>
      <c r="K290" s="44"/>
      <c r="L290" s="44"/>
      <c r="M290" s="44"/>
      <c r="N290" s="44"/>
      <c r="O290" s="44"/>
      <c r="P290" s="45"/>
      <c r="BX290" t="s">
        <v>1171</v>
      </c>
    </row>
    <row r="291" spans="1:76" x14ac:dyDescent="0.25">
      <c r="A291" s="43"/>
      <c r="B291" s="44"/>
      <c r="C291" s="44"/>
      <c r="D291" s="87" t="s">
        <v>1172</v>
      </c>
      <c r="E291" s="36" t="s">
        <v>53</v>
      </c>
      <c r="F291" s="44"/>
      <c r="G291" s="37">
        <v>2509.6343615999995</v>
      </c>
      <c r="H291" s="44"/>
      <c r="I291" s="44"/>
      <c r="J291" s="44"/>
      <c r="K291" s="44"/>
      <c r="L291" s="44"/>
      <c r="M291" s="44"/>
      <c r="N291" s="44"/>
      <c r="O291" s="44"/>
      <c r="P291" s="45"/>
      <c r="BX291" t="s">
        <v>1172</v>
      </c>
    </row>
    <row r="292" spans="1:76" x14ac:dyDescent="0.25">
      <c r="A292" s="2">
        <f>A283+1</f>
        <v>93</v>
      </c>
      <c r="B292" s="3" t="s">
        <v>53</v>
      </c>
      <c r="C292" s="3" t="s">
        <v>375</v>
      </c>
      <c r="D292" s="310" t="s">
        <v>376</v>
      </c>
      <c r="E292" s="307"/>
      <c r="F292" s="3" t="s">
        <v>120</v>
      </c>
      <c r="G292" s="31">
        <v>7.1659857128999995</v>
      </c>
      <c r="H292" s="31">
        <v>0</v>
      </c>
      <c r="I292" s="32">
        <v>21</v>
      </c>
      <c r="J292" s="31">
        <f>ROUND(G292*AO292,2)</f>
        <v>0</v>
      </c>
      <c r="K292" s="31">
        <f>ROUND(G292*AP292,2)</f>
        <v>0</v>
      </c>
      <c r="L292" s="31">
        <f>ROUND(G292*H292,2)</f>
        <v>0</v>
      </c>
      <c r="M292" s="31">
        <f>L292*(1+BW292/100)</f>
        <v>0</v>
      </c>
      <c r="N292" s="31">
        <v>0</v>
      </c>
      <c r="O292" s="31">
        <f>G292*N292</f>
        <v>0</v>
      </c>
      <c r="P292" s="33" t="s">
        <v>60</v>
      </c>
      <c r="Z292" s="31">
        <f>ROUND(IF(AQ292="5",BJ292,0),2)</f>
        <v>0</v>
      </c>
      <c r="AB292" s="31">
        <f>ROUND(IF(AQ292="1",BH292,0),2)</f>
        <v>0</v>
      </c>
      <c r="AC292" s="31">
        <f>ROUND(IF(AQ292="1",BI292,0),2)</f>
        <v>0</v>
      </c>
      <c r="AD292" s="31">
        <f>ROUND(IF(AQ292="7",BH292,0),2)</f>
        <v>0</v>
      </c>
      <c r="AE292" s="31">
        <f>ROUND(IF(AQ292="7",BI292,0),2)</f>
        <v>0</v>
      </c>
      <c r="AF292" s="31">
        <f>ROUND(IF(AQ292="2",BH292,0),2)</f>
        <v>0</v>
      </c>
      <c r="AG292" s="31">
        <f>ROUND(IF(AQ292="2",BI292,0),2)</f>
        <v>0</v>
      </c>
      <c r="AH292" s="31">
        <f>ROUND(IF(AQ292="0",BJ292,0),2)</f>
        <v>0</v>
      </c>
      <c r="AI292" s="12" t="s">
        <v>53</v>
      </c>
      <c r="AJ292" s="31">
        <f>IF(AN292=0,L292,0)</f>
        <v>0</v>
      </c>
      <c r="AK292" s="31">
        <f>IF(AN292=12,L292,0)</f>
        <v>0</v>
      </c>
      <c r="AL292" s="31">
        <f>IF(AN292=21,L292,0)</f>
        <v>0</v>
      </c>
      <c r="AN292" s="31">
        <v>21</v>
      </c>
      <c r="AO292" s="31">
        <f>H292*0</f>
        <v>0</v>
      </c>
      <c r="AP292" s="31">
        <f>H292*(1-0)</f>
        <v>0</v>
      </c>
      <c r="AQ292" s="34" t="s">
        <v>87</v>
      </c>
      <c r="AV292" s="31">
        <f>ROUND(AW292+AX292,2)</f>
        <v>0</v>
      </c>
      <c r="AW292" s="31">
        <f>ROUND(G292*AO292,2)</f>
        <v>0</v>
      </c>
      <c r="AX292" s="31">
        <f>ROUND(G292*AP292,2)</f>
        <v>0</v>
      </c>
      <c r="AY292" s="34" t="s">
        <v>367</v>
      </c>
      <c r="AZ292" s="34" t="s">
        <v>295</v>
      </c>
      <c r="BA292" s="12" t="s">
        <v>63</v>
      </c>
      <c r="BC292" s="31">
        <f>AW292+AX292</f>
        <v>0</v>
      </c>
      <c r="BD292" s="31">
        <f>H292/(100-BE292)*100</f>
        <v>0</v>
      </c>
      <c r="BE292" s="31">
        <v>0</v>
      </c>
      <c r="BF292" s="31">
        <f>O292</f>
        <v>0</v>
      </c>
      <c r="BH292" s="31">
        <f>G292*AO292</f>
        <v>0</v>
      </c>
      <c r="BI292" s="31">
        <f>G292*AP292</f>
        <v>0</v>
      </c>
      <c r="BJ292" s="31">
        <f>G292*H292</f>
        <v>0</v>
      </c>
      <c r="BK292" s="34" t="s">
        <v>64</v>
      </c>
      <c r="BL292" s="31"/>
      <c r="BW292" s="31">
        <f>I292</f>
        <v>21</v>
      </c>
      <c r="BX292" s="4" t="s">
        <v>376</v>
      </c>
    </row>
    <row r="293" spans="1:76" x14ac:dyDescent="0.25">
      <c r="A293" s="43"/>
      <c r="B293" s="44"/>
      <c r="C293" s="44"/>
      <c r="D293" s="201" t="s">
        <v>1157</v>
      </c>
      <c r="E293" s="36" t="s">
        <v>53</v>
      </c>
      <c r="F293" s="44"/>
      <c r="G293" s="37">
        <v>7.1659857128999995</v>
      </c>
      <c r="H293" s="44"/>
      <c r="I293" s="44"/>
      <c r="J293" s="44"/>
      <c r="K293" s="44"/>
      <c r="L293" s="44"/>
      <c r="M293" s="44"/>
      <c r="N293" s="44"/>
      <c r="O293" s="44"/>
      <c r="P293" s="45"/>
      <c r="BX293" t="s">
        <v>1157</v>
      </c>
    </row>
    <row r="294" spans="1:76" x14ac:dyDescent="0.25">
      <c r="A294" s="2">
        <f>A292+1</f>
        <v>94</v>
      </c>
      <c r="B294" s="3" t="s">
        <v>53</v>
      </c>
      <c r="C294" s="3" t="s">
        <v>377</v>
      </c>
      <c r="D294" s="310" t="s">
        <v>378</v>
      </c>
      <c r="E294" s="307"/>
      <c r="F294" s="3" t="s">
        <v>120</v>
      </c>
      <c r="G294" s="31">
        <v>139.42413119999998</v>
      </c>
      <c r="H294" s="31">
        <v>0</v>
      </c>
      <c r="I294" s="32">
        <v>21</v>
      </c>
      <c r="J294" s="31">
        <f>ROUND(G294*AO294,2)</f>
        <v>0</v>
      </c>
      <c r="K294" s="31">
        <f>ROUND(G294*AP294,2)</f>
        <v>0</v>
      </c>
      <c r="L294" s="31">
        <f>ROUND(G294*H294,2)</f>
        <v>0</v>
      </c>
      <c r="M294" s="31">
        <f>L294*(1+BW294/100)</f>
        <v>0</v>
      </c>
      <c r="N294" s="31">
        <v>0</v>
      </c>
      <c r="O294" s="31">
        <f>G294*N294</f>
        <v>0</v>
      </c>
      <c r="P294" s="33" t="s">
        <v>60</v>
      </c>
      <c r="Z294" s="31">
        <f>ROUND(IF(AQ294="5",BJ294,0),2)</f>
        <v>0</v>
      </c>
      <c r="AB294" s="31">
        <f>ROUND(IF(AQ294="1",BH294,0),2)</f>
        <v>0</v>
      </c>
      <c r="AC294" s="31">
        <f>ROUND(IF(AQ294="1",BI294,0),2)</f>
        <v>0</v>
      </c>
      <c r="AD294" s="31">
        <f>ROUND(IF(AQ294="7",BH294,0),2)</f>
        <v>0</v>
      </c>
      <c r="AE294" s="31">
        <f>ROUND(IF(AQ294="7",BI294,0),2)</f>
        <v>0</v>
      </c>
      <c r="AF294" s="31">
        <f>ROUND(IF(AQ294="2",BH294,0),2)</f>
        <v>0</v>
      </c>
      <c r="AG294" s="31">
        <f>ROUND(IF(AQ294="2",BI294,0),2)</f>
        <v>0</v>
      </c>
      <c r="AH294" s="31">
        <f>ROUND(IF(AQ294="0",BJ294,0),2)</f>
        <v>0</v>
      </c>
      <c r="AI294" s="12" t="s">
        <v>53</v>
      </c>
      <c r="AJ294" s="31">
        <f>IF(AN294=0,L294,0)</f>
        <v>0</v>
      </c>
      <c r="AK294" s="31">
        <f>IF(AN294=12,L294,0)</f>
        <v>0</v>
      </c>
      <c r="AL294" s="31">
        <f>IF(AN294=21,L294,0)</f>
        <v>0</v>
      </c>
      <c r="AN294" s="31">
        <v>21</v>
      </c>
      <c r="AO294" s="31">
        <f>H294*0</f>
        <v>0</v>
      </c>
      <c r="AP294" s="31">
        <f>H294*(1-0)</f>
        <v>0</v>
      </c>
      <c r="AQ294" s="34" t="s">
        <v>87</v>
      </c>
      <c r="AV294" s="31">
        <f>ROUND(AW294+AX294,2)</f>
        <v>0</v>
      </c>
      <c r="AW294" s="31">
        <f>ROUND(G294*AO294,2)</f>
        <v>0</v>
      </c>
      <c r="AX294" s="31">
        <f>ROUND(G294*AP294,2)</f>
        <v>0</v>
      </c>
      <c r="AY294" s="34" t="s">
        <v>367</v>
      </c>
      <c r="AZ294" s="34" t="s">
        <v>295</v>
      </c>
      <c r="BA294" s="12" t="s">
        <v>63</v>
      </c>
      <c r="BC294" s="31">
        <f>AW294+AX294</f>
        <v>0</v>
      </c>
      <c r="BD294" s="31">
        <f>H294/(100-BE294)*100</f>
        <v>0</v>
      </c>
      <c r="BE294" s="31">
        <v>0</v>
      </c>
      <c r="BF294" s="31">
        <f>O294</f>
        <v>0</v>
      </c>
      <c r="BH294" s="31">
        <f>G294*AO294</f>
        <v>0</v>
      </c>
      <c r="BI294" s="31">
        <f>G294*AP294</f>
        <v>0</v>
      </c>
      <c r="BJ294" s="31">
        <f>G294*H294</f>
        <v>0</v>
      </c>
      <c r="BK294" s="34" t="s">
        <v>64</v>
      </c>
      <c r="BL294" s="31"/>
      <c r="BW294" s="31">
        <f>I294</f>
        <v>21</v>
      </c>
      <c r="BX294" s="4" t="s">
        <v>378</v>
      </c>
    </row>
    <row r="295" spans="1:76" x14ac:dyDescent="0.25">
      <c r="A295" s="43"/>
      <c r="B295" s="44"/>
      <c r="C295" s="44"/>
      <c r="D295" s="87" t="s">
        <v>1172</v>
      </c>
      <c r="E295" s="36" t="s">
        <v>53</v>
      </c>
      <c r="F295" s="44"/>
      <c r="G295" s="37">
        <v>139.42413119999998</v>
      </c>
      <c r="H295" s="44"/>
      <c r="I295" s="44"/>
      <c r="J295" s="44"/>
      <c r="K295" s="44"/>
      <c r="L295" s="44"/>
      <c r="M295" s="44"/>
      <c r="N295" s="44"/>
      <c r="O295" s="44"/>
      <c r="P295" s="45"/>
      <c r="BX295" t="s">
        <v>1172</v>
      </c>
    </row>
    <row r="296" spans="1:76" x14ac:dyDescent="0.25">
      <c r="A296" s="2">
        <f>A294+1</f>
        <v>95</v>
      </c>
      <c r="B296" s="3" t="s">
        <v>53</v>
      </c>
      <c r="C296" s="3" t="s">
        <v>379</v>
      </c>
      <c r="D296" s="310" t="s">
        <v>380</v>
      </c>
      <c r="E296" s="307"/>
      <c r="F296" s="3" t="s">
        <v>120</v>
      </c>
      <c r="G296" s="31">
        <v>2.6164999999999994</v>
      </c>
      <c r="H296" s="31">
        <v>0</v>
      </c>
      <c r="I296" s="32">
        <v>21</v>
      </c>
      <c r="J296" s="31">
        <f>ROUND(G296*AO296,2)</f>
        <v>0</v>
      </c>
      <c r="K296" s="31">
        <f>ROUND(G296*AP296,2)</f>
        <v>0</v>
      </c>
      <c r="L296" s="31">
        <f>ROUND(G296*H296,2)</f>
        <v>0</v>
      </c>
      <c r="M296" s="31">
        <f>L296*(1+BW296/100)</f>
        <v>0</v>
      </c>
      <c r="N296" s="31">
        <v>0</v>
      </c>
      <c r="O296" s="31">
        <f>G296*N296</f>
        <v>0</v>
      </c>
      <c r="P296" s="33" t="s">
        <v>60</v>
      </c>
      <c r="Z296" s="31">
        <f>ROUND(IF(AQ296="5",BJ296,0),2)</f>
        <v>0</v>
      </c>
      <c r="AB296" s="31">
        <f>ROUND(IF(AQ296="1",BH296,0),2)</f>
        <v>0</v>
      </c>
      <c r="AC296" s="31">
        <f>ROUND(IF(AQ296="1",BI296,0),2)</f>
        <v>0</v>
      </c>
      <c r="AD296" s="31">
        <f>ROUND(IF(AQ296="7",BH296,0),2)</f>
        <v>0</v>
      </c>
      <c r="AE296" s="31">
        <f>ROUND(IF(AQ296="7",BI296,0),2)</f>
        <v>0</v>
      </c>
      <c r="AF296" s="31">
        <f>ROUND(IF(AQ296="2",BH296,0),2)</f>
        <v>0</v>
      </c>
      <c r="AG296" s="31">
        <f>ROUND(IF(AQ296="2",BI296,0),2)</f>
        <v>0</v>
      </c>
      <c r="AH296" s="31">
        <f>ROUND(IF(AQ296="0",BJ296,0),2)</f>
        <v>0</v>
      </c>
      <c r="AI296" s="12" t="s">
        <v>53</v>
      </c>
      <c r="AJ296" s="31">
        <f>IF(AN296=0,L296,0)</f>
        <v>0</v>
      </c>
      <c r="AK296" s="31">
        <f>IF(AN296=12,L296,0)</f>
        <v>0</v>
      </c>
      <c r="AL296" s="31">
        <f>IF(AN296=21,L296,0)</f>
        <v>0</v>
      </c>
      <c r="AN296" s="31">
        <v>21</v>
      </c>
      <c r="AO296" s="31">
        <f>H296*0</f>
        <v>0</v>
      </c>
      <c r="AP296" s="31">
        <f>H296*(1-0)</f>
        <v>0</v>
      </c>
      <c r="AQ296" s="34" t="s">
        <v>87</v>
      </c>
      <c r="AV296" s="31">
        <f>ROUND(AW296+AX296,2)</f>
        <v>0</v>
      </c>
      <c r="AW296" s="31">
        <f>ROUND(G296*AO296,2)</f>
        <v>0</v>
      </c>
      <c r="AX296" s="31">
        <f>ROUND(G296*AP296,2)</f>
        <v>0</v>
      </c>
      <c r="AY296" s="34" t="s">
        <v>367</v>
      </c>
      <c r="AZ296" s="34" t="s">
        <v>295</v>
      </c>
      <c r="BA296" s="12" t="s">
        <v>63</v>
      </c>
      <c r="BC296" s="31">
        <f>AW296+AX296</f>
        <v>0</v>
      </c>
      <c r="BD296" s="31">
        <f>H296/(100-BE296)*100</f>
        <v>0</v>
      </c>
      <c r="BE296" s="31">
        <v>0</v>
      </c>
      <c r="BF296" s="31">
        <f>O296</f>
        <v>0</v>
      </c>
      <c r="BH296" s="31">
        <f>G296*AO296</f>
        <v>0</v>
      </c>
      <c r="BI296" s="31">
        <f>G296*AP296</f>
        <v>0</v>
      </c>
      <c r="BJ296" s="31">
        <f>G296*H296</f>
        <v>0</v>
      </c>
      <c r="BK296" s="34" t="s">
        <v>64</v>
      </c>
      <c r="BL296" s="31"/>
      <c r="BW296" s="31">
        <f>I296</f>
        <v>21</v>
      </c>
      <c r="BX296" s="4" t="s">
        <v>380</v>
      </c>
    </row>
    <row r="297" spans="1:76" x14ac:dyDescent="0.25">
      <c r="A297" s="35"/>
      <c r="D297" s="87" t="s">
        <v>819</v>
      </c>
      <c r="E297" s="36" t="s">
        <v>53</v>
      </c>
      <c r="G297" s="37">
        <v>2.6164999999999994</v>
      </c>
      <c r="P297" s="38"/>
      <c r="BX297" t="s">
        <v>819</v>
      </c>
    </row>
    <row r="298" spans="1:76" x14ac:dyDescent="0.25">
      <c r="A298" s="2">
        <f>A296+1</f>
        <v>96</v>
      </c>
      <c r="B298" s="3" t="s">
        <v>53</v>
      </c>
      <c r="C298" s="3" t="s">
        <v>381</v>
      </c>
      <c r="D298" s="310" t="s">
        <v>382</v>
      </c>
      <c r="E298" s="307"/>
      <c r="F298" s="3" t="s">
        <v>120</v>
      </c>
      <c r="G298" s="31">
        <v>11.044</v>
      </c>
      <c r="H298" s="31">
        <v>0</v>
      </c>
      <c r="I298" s="32">
        <v>21</v>
      </c>
      <c r="J298" s="31">
        <f>ROUND(G298*AO298,2)</f>
        <v>0</v>
      </c>
      <c r="K298" s="31">
        <f>ROUND(G298*AP298,2)</f>
        <v>0</v>
      </c>
      <c r="L298" s="31">
        <f>ROUND(G298*H298,2)</f>
        <v>0</v>
      </c>
      <c r="M298" s="31">
        <f>L298*(1+BW298/100)</f>
        <v>0</v>
      </c>
      <c r="N298" s="31">
        <v>0</v>
      </c>
      <c r="O298" s="31">
        <f>G298*N298</f>
        <v>0</v>
      </c>
      <c r="P298" s="33" t="s">
        <v>60</v>
      </c>
      <c r="Z298" s="31">
        <f>ROUND(IF(AQ298="5",BJ298,0),2)</f>
        <v>0</v>
      </c>
      <c r="AB298" s="31">
        <f>ROUND(IF(AQ298="1",BH298,0),2)</f>
        <v>0</v>
      </c>
      <c r="AC298" s="31">
        <f>ROUND(IF(AQ298="1",BI298,0),2)</f>
        <v>0</v>
      </c>
      <c r="AD298" s="31">
        <f>ROUND(IF(AQ298="7",BH298,0),2)</f>
        <v>0</v>
      </c>
      <c r="AE298" s="31">
        <f>ROUND(IF(AQ298="7",BI298,0),2)</f>
        <v>0</v>
      </c>
      <c r="AF298" s="31">
        <f>ROUND(IF(AQ298="2",BH298,0),2)</f>
        <v>0</v>
      </c>
      <c r="AG298" s="31">
        <f>ROUND(IF(AQ298="2",BI298,0),2)</f>
        <v>0</v>
      </c>
      <c r="AH298" s="31">
        <f>ROUND(IF(AQ298="0",BJ298,0),2)</f>
        <v>0</v>
      </c>
      <c r="AI298" s="12" t="s">
        <v>53</v>
      </c>
      <c r="AJ298" s="31">
        <f>IF(AN298=0,L298,0)</f>
        <v>0</v>
      </c>
      <c r="AK298" s="31">
        <f>IF(AN298=12,L298,0)</f>
        <v>0</v>
      </c>
      <c r="AL298" s="31">
        <f>IF(AN298=21,L298,0)</f>
        <v>0</v>
      </c>
      <c r="AN298" s="31">
        <v>21</v>
      </c>
      <c r="AO298" s="31">
        <f>H298*0</f>
        <v>0</v>
      </c>
      <c r="AP298" s="31">
        <f>H298*(1-0)</f>
        <v>0</v>
      </c>
      <c r="AQ298" s="34" t="s">
        <v>87</v>
      </c>
      <c r="AV298" s="31">
        <f>ROUND(AW298+AX298,2)</f>
        <v>0</v>
      </c>
      <c r="AW298" s="31">
        <f>ROUND(G298*AO298,2)</f>
        <v>0</v>
      </c>
      <c r="AX298" s="31">
        <f>ROUND(G298*AP298,2)</f>
        <v>0</v>
      </c>
      <c r="AY298" s="34" t="s">
        <v>367</v>
      </c>
      <c r="AZ298" s="34" t="s">
        <v>295</v>
      </c>
      <c r="BA298" s="12" t="s">
        <v>63</v>
      </c>
      <c r="BC298" s="31">
        <f>AW298+AX298</f>
        <v>0</v>
      </c>
      <c r="BD298" s="31">
        <f>H298/(100-BE298)*100</f>
        <v>0</v>
      </c>
      <c r="BE298" s="31">
        <v>0</v>
      </c>
      <c r="BF298" s="31">
        <f>O298</f>
        <v>0</v>
      </c>
      <c r="BH298" s="31">
        <f>G298*AO298</f>
        <v>0</v>
      </c>
      <c r="BI298" s="31">
        <f>G298*AP298</f>
        <v>0</v>
      </c>
      <c r="BJ298" s="31">
        <f>G298*H298</f>
        <v>0</v>
      </c>
      <c r="BK298" s="34" t="s">
        <v>64</v>
      </c>
      <c r="BL298" s="31"/>
      <c r="BW298" s="31">
        <f>I298</f>
        <v>21</v>
      </c>
      <c r="BX298" s="4" t="s">
        <v>382</v>
      </c>
    </row>
    <row r="299" spans="1:76" x14ac:dyDescent="0.25">
      <c r="A299" s="39" t="s">
        <v>53</v>
      </c>
      <c r="B299" s="40" t="s">
        <v>53</v>
      </c>
      <c r="C299" s="40" t="s">
        <v>383</v>
      </c>
      <c r="D299" s="375" t="s">
        <v>384</v>
      </c>
      <c r="E299" s="376"/>
      <c r="F299" s="41" t="s">
        <v>3</v>
      </c>
      <c r="G299" s="41" t="s">
        <v>3</v>
      </c>
      <c r="H299" s="41" t="s">
        <v>3</v>
      </c>
      <c r="I299" s="41" t="s">
        <v>3</v>
      </c>
      <c r="J299" s="1">
        <f>SUM(J300:J300)</f>
        <v>0</v>
      </c>
      <c r="K299" s="1">
        <f>SUM(K300:K300)</f>
        <v>0</v>
      </c>
      <c r="L299" s="1">
        <f>SUM(L300:L300)</f>
        <v>0</v>
      </c>
      <c r="M299" s="1">
        <f>SUM(M300:M300)</f>
        <v>0</v>
      </c>
      <c r="N299" s="12" t="s">
        <v>53</v>
      </c>
      <c r="O299" s="1">
        <f>SUM(O300:O300)</f>
        <v>0</v>
      </c>
      <c r="P299" s="42" t="s">
        <v>53</v>
      </c>
      <c r="AI299" s="12" t="s">
        <v>53</v>
      </c>
      <c r="AS299" s="1">
        <f>SUM(AJ300:AJ300)</f>
        <v>0</v>
      </c>
      <c r="AT299" s="1">
        <f>SUM(AK300:AK300)</f>
        <v>0</v>
      </c>
      <c r="AU299" s="1">
        <f>SUM(AL300:AL300)</f>
        <v>0</v>
      </c>
      <c r="BX299" t="s">
        <v>384</v>
      </c>
    </row>
    <row r="300" spans="1:76" x14ac:dyDescent="0.25">
      <c r="A300" s="2">
        <f>A298+1</f>
        <v>97</v>
      </c>
      <c r="B300" s="3" t="s">
        <v>53</v>
      </c>
      <c r="C300" s="3" t="s">
        <v>385</v>
      </c>
      <c r="D300" s="310" t="s">
        <v>386</v>
      </c>
      <c r="E300" s="307"/>
      <c r="F300" s="3" t="s">
        <v>120</v>
      </c>
      <c r="G300" s="31">
        <v>86.929127494400007</v>
      </c>
      <c r="H300" s="31">
        <v>0</v>
      </c>
      <c r="I300" s="32">
        <v>21</v>
      </c>
      <c r="J300" s="31">
        <f>ROUND(G300*AO300,2)</f>
        <v>0</v>
      </c>
      <c r="K300" s="31">
        <f>ROUND(G300*AP300,2)</f>
        <v>0</v>
      </c>
      <c r="L300" s="31">
        <f>ROUND(G300*H300,2)</f>
        <v>0</v>
      </c>
      <c r="M300" s="31">
        <f>L300*(1+BW300/100)</f>
        <v>0</v>
      </c>
      <c r="N300" s="31">
        <v>0</v>
      </c>
      <c r="O300" s="31">
        <f>G300*N300</f>
        <v>0</v>
      </c>
      <c r="P300" s="33" t="s">
        <v>60</v>
      </c>
      <c r="Z300" s="31">
        <f>ROUND(IF(AQ300="5",BJ300,0),2)</f>
        <v>0</v>
      </c>
      <c r="AB300" s="31">
        <f>ROUND(IF(AQ300="1",BH300,0),2)</f>
        <v>0</v>
      </c>
      <c r="AC300" s="31">
        <f>ROUND(IF(AQ300="1",BI300,0),2)</f>
        <v>0</v>
      </c>
      <c r="AD300" s="31">
        <f>ROUND(IF(AQ300="7",BH300,0),2)</f>
        <v>0</v>
      </c>
      <c r="AE300" s="31">
        <f>ROUND(IF(AQ300="7",BI300,0),2)</f>
        <v>0</v>
      </c>
      <c r="AF300" s="31">
        <f>ROUND(IF(AQ300="2",BH300,0),2)</f>
        <v>0</v>
      </c>
      <c r="AG300" s="31">
        <f>ROUND(IF(AQ300="2",BI300,0),2)</f>
        <v>0</v>
      </c>
      <c r="AH300" s="31">
        <f>ROUND(IF(AQ300="0",BJ300,0),2)</f>
        <v>0</v>
      </c>
      <c r="AI300" s="12" t="s">
        <v>53</v>
      </c>
      <c r="AJ300" s="31">
        <f>IF(AN300=0,L300,0)</f>
        <v>0</v>
      </c>
      <c r="AK300" s="31">
        <f>IF(AN300=12,L300,0)</f>
        <v>0</v>
      </c>
      <c r="AL300" s="31">
        <f>IF(AN300=21,L300,0)</f>
        <v>0</v>
      </c>
      <c r="AN300" s="31">
        <v>21</v>
      </c>
      <c r="AO300" s="31">
        <f>H300*0</f>
        <v>0</v>
      </c>
      <c r="AP300" s="31">
        <f>H300*(1-0)</f>
        <v>0</v>
      </c>
      <c r="AQ300" s="34" t="s">
        <v>87</v>
      </c>
      <c r="AV300" s="31">
        <f>ROUND(AW300+AX300,2)</f>
        <v>0</v>
      </c>
      <c r="AW300" s="31">
        <f>ROUND(G300*AO300,2)</f>
        <v>0</v>
      </c>
      <c r="AX300" s="31">
        <f>ROUND(G300*AP300,2)</f>
        <v>0</v>
      </c>
      <c r="AY300" s="34" t="s">
        <v>387</v>
      </c>
      <c r="AZ300" s="34" t="s">
        <v>295</v>
      </c>
      <c r="BA300" s="12" t="s">
        <v>63</v>
      </c>
      <c r="BC300" s="31">
        <f>AW300+AX300</f>
        <v>0</v>
      </c>
      <c r="BD300" s="31">
        <f>H300/(100-BE300)*100</f>
        <v>0</v>
      </c>
      <c r="BE300" s="31">
        <v>0</v>
      </c>
      <c r="BF300" s="31">
        <f>O300</f>
        <v>0</v>
      </c>
      <c r="BH300" s="31">
        <f>G300*AO300</f>
        <v>0</v>
      </c>
      <c r="BI300" s="31">
        <f>G300*AP300</f>
        <v>0</v>
      </c>
      <c r="BJ300" s="31">
        <f>G300*H300</f>
        <v>0</v>
      </c>
      <c r="BK300" s="34" t="s">
        <v>64</v>
      </c>
      <c r="BL300" s="31"/>
      <c r="BW300" s="31">
        <f>I300</f>
        <v>21</v>
      </c>
      <c r="BX300" s="4" t="s">
        <v>386</v>
      </c>
    </row>
    <row r="301" spans="1:76" x14ac:dyDescent="0.25">
      <c r="A301" s="39" t="s">
        <v>53</v>
      </c>
      <c r="B301" s="40" t="s">
        <v>53</v>
      </c>
      <c r="C301" s="40" t="s">
        <v>388</v>
      </c>
      <c r="D301" s="375" t="s">
        <v>389</v>
      </c>
      <c r="E301" s="376"/>
      <c r="F301" s="41" t="s">
        <v>3</v>
      </c>
      <c r="G301" s="41" t="s">
        <v>3</v>
      </c>
      <c r="H301" s="41" t="s">
        <v>3</v>
      </c>
      <c r="I301" s="41" t="s">
        <v>3</v>
      </c>
      <c r="J301" s="1">
        <f>SUM(J302:J432)</f>
        <v>0</v>
      </c>
      <c r="K301" s="1">
        <f>SUM(K302:K432)</f>
        <v>0</v>
      </c>
      <c r="L301" s="1">
        <f>SUM(L302:L432)</f>
        <v>0</v>
      </c>
      <c r="M301" s="1">
        <f>SUM(M302:M432)</f>
        <v>0</v>
      </c>
      <c r="N301" s="12" t="s">
        <v>53</v>
      </c>
      <c r="O301" s="1">
        <f>SUM(O302:O432)</f>
        <v>16.087975999999998</v>
      </c>
      <c r="P301" s="42" t="s">
        <v>53</v>
      </c>
      <c r="AI301" s="12" t="s">
        <v>53</v>
      </c>
      <c r="AS301" s="1">
        <f>SUM(AJ304:AJ432)</f>
        <v>0</v>
      </c>
      <c r="AT301" s="1">
        <f>SUM(AK304:AK432)</f>
        <v>0</v>
      </c>
      <c r="AU301" s="1">
        <f>SUM(AL304:AL432)</f>
        <v>0</v>
      </c>
      <c r="BX301" t="s">
        <v>389</v>
      </c>
    </row>
    <row r="302" spans="1:76" ht="127.5" x14ac:dyDescent="0.25">
      <c r="A302" s="2">
        <f>A300+1</f>
        <v>98</v>
      </c>
      <c r="B302" s="3" t="s">
        <v>53</v>
      </c>
      <c r="C302" s="3" t="s">
        <v>1100</v>
      </c>
      <c r="D302" s="310" t="s">
        <v>1103</v>
      </c>
      <c r="E302" s="310"/>
      <c r="F302" s="3" t="s">
        <v>645</v>
      </c>
      <c r="G302" s="31">
        <v>1</v>
      </c>
      <c r="H302" s="31">
        <v>0</v>
      </c>
      <c r="I302" s="32">
        <v>21</v>
      </c>
      <c r="J302" s="31">
        <f>ROUND(G302*AO302,2)</f>
        <v>0</v>
      </c>
      <c r="K302" s="31">
        <f>ROUND(G302*AP302,2)</f>
        <v>0</v>
      </c>
      <c r="L302" s="31">
        <f>ROUND(G302*H302,2)</f>
        <v>0</v>
      </c>
      <c r="M302" s="31">
        <f>L302*(1+BW302/100)</f>
        <v>0</v>
      </c>
      <c r="N302" s="31">
        <v>1.1E-4</v>
      </c>
      <c r="O302" s="31">
        <f>G302*N302</f>
        <v>1.1E-4</v>
      </c>
      <c r="P302" s="33" t="s">
        <v>60</v>
      </c>
      <c r="Z302" s="31">
        <f>ROUND(IF(AQ302="5",BJ302,0),2)</f>
        <v>0</v>
      </c>
      <c r="AB302" s="31">
        <f>ROUND(IF(AQ302="1",BH302,0),2)</f>
        <v>0</v>
      </c>
      <c r="AC302" s="31">
        <f>ROUND(IF(AQ302="1",BI302,0),2)</f>
        <v>0</v>
      </c>
      <c r="AD302" s="31">
        <f>ROUND(IF(AQ302="7",BH302,0),2)</f>
        <v>0</v>
      </c>
      <c r="AE302" s="31">
        <f>ROUND(IF(AQ302="7",BI302,0),2)</f>
        <v>0</v>
      </c>
      <c r="AF302" s="31">
        <f>ROUND(IF(AQ302="2",BH302,0),2)</f>
        <v>0</v>
      </c>
      <c r="AG302" s="31">
        <f>ROUND(IF(AQ302="2",BI302,0),2)</f>
        <v>0</v>
      </c>
      <c r="AH302" s="31">
        <f>ROUND(IF(AQ302="0",BJ302,0),2)</f>
        <v>0</v>
      </c>
      <c r="AI302" s="12" t="s">
        <v>53</v>
      </c>
      <c r="AJ302" s="31">
        <f>IF(AN302=0,L302,0)</f>
        <v>0</v>
      </c>
      <c r="AK302" s="31">
        <f>IF(AN302=12,L302,0)</f>
        <v>0</v>
      </c>
      <c r="AL302" s="31">
        <f>IF(AN302=21,L302,0)</f>
        <v>0</v>
      </c>
      <c r="AN302" s="31">
        <v>21</v>
      </c>
      <c r="AO302" s="31">
        <f>H302*0.052485812</f>
        <v>0</v>
      </c>
      <c r="AP302" s="31">
        <f>H302*(1-0.052485812)</f>
        <v>0</v>
      </c>
      <c r="AQ302" s="34" t="s">
        <v>68</v>
      </c>
      <c r="AV302" s="31">
        <f>ROUND(AW302+AX302,2)</f>
        <v>0</v>
      </c>
      <c r="AW302" s="31">
        <f>ROUND(G302*AO302,2)</f>
        <v>0</v>
      </c>
      <c r="AX302" s="31">
        <f>ROUND(G302*AP302,2)</f>
        <v>0</v>
      </c>
      <c r="AY302" s="34" t="s">
        <v>392</v>
      </c>
      <c r="AZ302" s="34" t="s">
        <v>295</v>
      </c>
      <c r="BA302" s="12" t="s">
        <v>63</v>
      </c>
      <c r="BC302" s="31">
        <f>AW302+AX302</f>
        <v>0</v>
      </c>
      <c r="BD302" s="31">
        <f>H302/(100-BE302)*100</f>
        <v>0</v>
      </c>
      <c r="BE302" s="31">
        <v>0</v>
      </c>
      <c r="BF302" s="31">
        <f>O302</f>
        <v>1.1E-4</v>
      </c>
      <c r="BH302" s="31">
        <f>G302*AO302</f>
        <v>0</v>
      </c>
      <c r="BI302" s="31">
        <f>G302*AP302</f>
        <v>0</v>
      </c>
      <c r="BJ302" s="31">
        <f>G302*H302</f>
        <v>0</v>
      </c>
      <c r="BK302" s="34" t="s">
        <v>64</v>
      </c>
      <c r="BL302" s="31"/>
      <c r="BW302" s="31">
        <f>I302</f>
        <v>21</v>
      </c>
      <c r="BX302" s="4" t="s">
        <v>1103</v>
      </c>
    </row>
    <row r="303" spans="1:76" ht="127.5" x14ac:dyDescent="0.25">
      <c r="A303" s="2">
        <f>A302+1</f>
        <v>99</v>
      </c>
      <c r="B303" s="3" t="s">
        <v>53</v>
      </c>
      <c r="C303" s="3" t="s">
        <v>1101</v>
      </c>
      <c r="D303" s="310" t="s">
        <v>1102</v>
      </c>
      <c r="E303" s="310"/>
      <c r="F303" s="3" t="s">
        <v>645</v>
      </c>
      <c r="G303" s="31">
        <v>1</v>
      </c>
      <c r="H303" s="31">
        <v>0</v>
      </c>
      <c r="I303" s="32">
        <v>21</v>
      </c>
      <c r="J303" s="31">
        <f>ROUND(G303*AO303,2)</f>
        <v>0</v>
      </c>
      <c r="K303" s="31">
        <f>ROUND(G303*AP303,2)</f>
        <v>0</v>
      </c>
      <c r="L303" s="31">
        <f>ROUND(G303*H303,2)</f>
        <v>0</v>
      </c>
      <c r="M303" s="31">
        <f>L303*(1+BW303/100)</f>
        <v>0</v>
      </c>
      <c r="N303" s="31">
        <v>1.72E-2</v>
      </c>
      <c r="O303" s="31">
        <f>G303*N303</f>
        <v>1.72E-2</v>
      </c>
      <c r="P303" s="33" t="s">
        <v>60</v>
      </c>
      <c r="Z303" s="31">
        <f>ROUND(IF(AQ303="5",BJ303,0),2)</f>
        <v>0</v>
      </c>
      <c r="AB303" s="31">
        <f>ROUND(IF(AQ303="1",BH303,0),2)</f>
        <v>0</v>
      </c>
      <c r="AC303" s="31">
        <f>ROUND(IF(AQ303="1",BI303,0),2)</f>
        <v>0</v>
      </c>
      <c r="AD303" s="31">
        <f>ROUND(IF(AQ303="7",BH303,0),2)</f>
        <v>0</v>
      </c>
      <c r="AE303" s="31">
        <f>ROUND(IF(AQ303="7",BI303,0),2)</f>
        <v>0</v>
      </c>
      <c r="AF303" s="31">
        <f>ROUND(IF(AQ303="2",BH303,0),2)</f>
        <v>0</v>
      </c>
      <c r="AG303" s="31">
        <f>ROUND(IF(AQ303="2",BI303,0),2)</f>
        <v>0</v>
      </c>
      <c r="AH303" s="31">
        <f>ROUND(IF(AQ303="0",BJ303,0),2)</f>
        <v>0</v>
      </c>
      <c r="AI303" s="12" t="s">
        <v>53</v>
      </c>
      <c r="AJ303" s="31">
        <f>IF(AN303=0,L303,0)</f>
        <v>0</v>
      </c>
      <c r="AK303" s="31">
        <f>IF(AN303=12,L303,0)</f>
        <v>0</v>
      </c>
      <c r="AL303" s="31">
        <f>IF(AN303=21,L303,0)</f>
        <v>0</v>
      </c>
      <c r="AN303" s="31">
        <v>21</v>
      </c>
      <c r="AO303" s="31">
        <f>H303*1</f>
        <v>0</v>
      </c>
      <c r="AP303" s="31">
        <f>H303*(1-1)</f>
        <v>0</v>
      </c>
      <c r="AQ303" s="34" t="s">
        <v>56</v>
      </c>
      <c r="AV303" s="31">
        <f>ROUND(AW303+AX303,2)</f>
        <v>0</v>
      </c>
      <c r="AW303" s="31">
        <f>ROUND(G303*AO303,2)</f>
        <v>0</v>
      </c>
      <c r="AX303" s="31">
        <f>ROUND(G303*AP303,2)</f>
        <v>0</v>
      </c>
      <c r="AY303" s="34" t="s">
        <v>392</v>
      </c>
      <c r="AZ303" s="34" t="s">
        <v>295</v>
      </c>
      <c r="BA303" s="12" t="s">
        <v>63</v>
      </c>
      <c r="BC303" s="31">
        <f>AW303+AX303</f>
        <v>0</v>
      </c>
      <c r="BD303" s="31">
        <f>H303/(100-BE303)*100</f>
        <v>0</v>
      </c>
      <c r="BE303" s="31">
        <v>0</v>
      </c>
      <c r="BF303" s="31">
        <f>O303</f>
        <v>1.72E-2</v>
      </c>
      <c r="BH303" s="31">
        <f>G303*AO303</f>
        <v>0</v>
      </c>
      <c r="BI303" s="31">
        <f>G303*AP303</f>
        <v>0</v>
      </c>
      <c r="BJ303" s="31">
        <f>G303*H303</f>
        <v>0</v>
      </c>
      <c r="BK303" s="34" t="s">
        <v>203</v>
      </c>
      <c r="BL303" s="31"/>
      <c r="BW303" s="31">
        <f>I303</f>
        <v>21</v>
      </c>
      <c r="BX303" s="4" t="s">
        <v>1102</v>
      </c>
    </row>
    <row r="304" spans="1:76" x14ac:dyDescent="0.25">
      <c r="A304" s="2">
        <f>A303+1</f>
        <v>100</v>
      </c>
      <c r="B304" s="3" t="s">
        <v>53</v>
      </c>
      <c r="C304" s="3" t="s">
        <v>390</v>
      </c>
      <c r="D304" s="310" t="s">
        <v>391</v>
      </c>
      <c r="E304" s="307"/>
      <c r="F304" s="3" t="s">
        <v>71</v>
      </c>
      <c r="G304" s="31">
        <v>50</v>
      </c>
      <c r="H304" s="31">
        <v>0</v>
      </c>
      <c r="I304" s="32">
        <v>21</v>
      </c>
      <c r="J304" s="31">
        <f>ROUND(G304*AO304,2)</f>
        <v>0</v>
      </c>
      <c r="K304" s="31">
        <f>ROUND(G304*AP304,2)</f>
        <v>0</v>
      </c>
      <c r="L304" s="31">
        <f>ROUND(G304*H304,2)</f>
        <v>0</v>
      </c>
      <c r="M304" s="31">
        <f>L304*(1+BW304/100)</f>
        <v>0</v>
      </c>
      <c r="N304" s="31">
        <v>1.1E-4</v>
      </c>
      <c r="O304" s="31">
        <f>G304*N304</f>
        <v>5.5000000000000005E-3</v>
      </c>
      <c r="P304" s="33" t="s">
        <v>60</v>
      </c>
      <c r="Z304" s="31">
        <f>ROUND(IF(AQ304="5",BJ304,0),2)</f>
        <v>0</v>
      </c>
      <c r="AB304" s="31">
        <f>ROUND(IF(AQ304="1",BH304,0),2)</f>
        <v>0</v>
      </c>
      <c r="AC304" s="31">
        <f>ROUND(IF(AQ304="1",BI304,0),2)</f>
        <v>0</v>
      </c>
      <c r="AD304" s="31">
        <f>ROUND(IF(AQ304="7",BH304,0),2)</f>
        <v>0</v>
      </c>
      <c r="AE304" s="31">
        <f>ROUND(IF(AQ304="7",BI304,0),2)</f>
        <v>0</v>
      </c>
      <c r="AF304" s="31">
        <f>ROUND(IF(AQ304="2",BH304,0),2)</f>
        <v>0</v>
      </c>
      <c r="AG304" s="31">
        <f>ROUND(IF(AQ304="2",BI304,0),2)</f>
        <v>0</v>
      </c>
      <c r="AH304" s="31">
        <f>ROUND(IF(AQ304="0",BJ304,0),2)</f>
        <v>0</v>
      </c>
      <c r="AI304" s="12" t="s">
        <v>53</v>
      </c>
      <c r="AJ304" s="31">
        <f>IF(AN304=0,L304,0)</f>
        <v>0</v>
      </c>
      <c r="AK304" s="31">
        <f>IF(AN304=12,L304,0)</f>
        <v>0</v>
      </c>
      <c r="AL304" s="31">
        <f>IF(AN304=21,L304,0)</f>
        <v>0</v>
      </c>
      <c r="AN304" s="31">
        <v>21</v>
      </c>
      <c r="AO304" s="31">
        <f>H304*0.052485812</f>
        <v>0</v>
      </c>
      <c r="AP304" s="31">
        <f>H304*(1-0.052485812)</f>
        <v>0</v>
      </c>
      <c r="AQ304" s="34" t="s">
        <v>68</v>
      </c>
      <c r="AV304" s="31">
        <f>ROUND(AW304+AX304,2)</f>
        <v>0</v>
      </c>
      <c r="AW304" s="31">
        <f>ROUND(G304*AO304,2)</f>
        <v>0</v>
      </c>
      <c r="AX304" s="31">
        <f>ROUND(G304*AP304,2)</f>
        <v>0</v>
      </c>
      <c r="AY304" s="34" t="s">
        <v>392</v>
      </c>
      <c r="AZ304" s="34" t="s">
        <v>295</v>
      </c>
      <c r="BA304" s="12" t="s">
        <v>63</v>
      </c>
      <c r="BC304" s="31">
        <f>AW304+AX304</f>
        <v>0</v>
      </c>
      <c r="BD304" s="31">
        <f>H304/(100-BE304)*100</f>
        <v>0</v>
      </c>
      <c r="BE304" s="31">
        <v>0</v>
      </c>
      <c r="BF304" s="31">
        <f>O304</f>
        <v>5.5000000000000005E-3</v>
      </c>
      <c r="BH304" s="31">
        <f>G304*AO304</f>
        <v>0</v>
      </c>
      <c r="BI304" s="31">
        <f>G304*AP304</f>
        <v>0</v>
      </c>
      <c r="BJ304" s="31">
        <f>G304*H304</f>
        <v>0</v>
      </c>
      <c r="BK304" s="34" t="s">
        <v>64</v>
      </c>
      <c r="BL304" s="31"/>
      <c r="BW304" s="31">
        <f>I304</f>
        <v>21</v>
      </c>
      <c r="BX304" s="4" t="s">
        <v>391</v>
      </c>
    </row>
    <row r="305" spans="1:76" x14ac:dyDescent="0.25">
      <c r="A305" s="43"/>
      <c r="B305" s="44"/>
      <c r="C305" s="44"/>
      <c r="D305" s="87" t="s">
        <v>393</v>
      </c>
      <c r="E305" s="36" t="s">
        <v>53</v>
      </c>
      <c r="F305" s="44"/>
      <c r="G305" s="37">
        <v>50</v>
      </c>
      <c r="H305" s="44"/>
      <c r="I305" s="44"/>
      <c r="J305" s="44"/>
      <c r="K305" s="44"/>
      <c r="L305" s="44"/>
      <c r="M305" s="44"/>
      <c r="N305" s="44"/>
      <c r="O305" s="44"/>
      <c r="P305" s="45"/>
      <c r="BX305" t="s">
        <v>393</v>
      </c>
    </row>
    <row r="306" spans="1:76" x14ac:dyDescent="0.25">
      <c r="A306" s="2">
        <f>A304+1</f>
        <v>101</v>
      </c>
      <c r="B306" s="3" t="s">
        <v>53</v>
      </c>
      <c r="C306" s="3" t="s">
        <v>394</v>
      </c>
      <c r="D306" s="310" t="s">
        <v>395</v>
      </c>
      <c r="E306" s="307"/>
      <c r="F306" s="3" t="s">
        <v>71</v>
      </c>
      <c r="G306" s="31">
        <v>52.5</v>
      </c>
      <c r="H306" s="31">
        <v>0</v>
      </c>
      <c r="I306" s="32">
        <v>21</v>
      </c>
      <c r="J306" s="31">
        <f>ROUND(G306*AO306,2)</f>
        <v>0</v>
      </c>
      <c r="K306" s="31">
        <f>ROUND(G306*AP306,2)</f>
        <v>0</v>
      </c>
      <c r="L306" s="31">
        <f>ROUND(G306*H306,2)</f>
        <v>0</v>
      </c>
      <c r="M306" s="31">
        <f>L306*(1+BW306/100)</f>
        <v>0</v>
      </c>
      <c r="N306" s="31">
        <v>1.72E-2</v>
      </c>
      <c r="O306" s="31">
        <f>G306*N306</f>
        <v>0.90300000000000002</v>
      </c>
      <c r="P306" s="33" t="s">
        <v>60</v>
      </c>
      <c r="Z306" s="31">
        <f>ROUND(IF(AQ306="5",BJ306,0),2)</f>
        <v>0</v>
      </c>
      <c r="AB306" s="31">
        <f>ROUND(IF(AQ306="1",BH306,0),2)</f>
        <v>0</v>
      </c>
      <c r="AC306" s="31">
        <f>ROUND(IF(AQ306="1",BI306,0),2)</f>
        <v>0</v>
      </c>
      <c r="AD306" s="31">
        <f>ROUND(IF(AQ306="7",BH306,0),2)</f>
        <v>0</v>
      </c>
      <c r="AE306" s="31">
        <f>ROUND(IF(AQ306="7",BI306,0),2)</f>
        <v>0</v>
      </c>
      <c r="AF306" s="31">
        <f>ROUND(IF(AQ306="2",BH306,0),2)</f>
        <v>0</v>
      </c>
      <c r="AG306" s="31">
        <f>ROUND(IF(AQ306="2",BI306,0),2)</f>
        <v>0</v>
      </c>
      <c r="AH306" s="31">
        <f>ROUND(IF(AQ306="0",BJ306,0),2)</f>
        <v>0</v>
      </c>
      <c r="AI306" s="12" t="s">
        <v>53</v>
      </c>
      <c r="AJ306" s="31">
        <f>IF(AN306=0,L306,0)</f>
        <v>0</v>
      </c>
      <c r="AK306" s="31">
        <f>IF(AN306=12,L306,0)</f>
        <v>0</v>
      </c>
      <c r="AL306" s="31">
        <f>IF(AN306=21,L306,0)</f>
        <v>0</v>
      </c>
      <c r="AN306" s="31">
        <v>21</v>
      </c>
      <c r="AO306" s="31">
        <f>H306*1</f>
        <v>0</v>
      </c>
      <c r="AP306" s="31">
        <f>H306*(1-1)</f>
        <v>0</v>
      </c>
      <c r="AQ306" s="34" t="s">
        <v>56</v>
      </c>
      <c r="AV306" s="31">
        <f>ROUND(AW306+AX306,2)</f>
        <v>0</v>
      </c>
      <c r="AW306" s="31">
        <f>ROUND(G306*AO306,2)</f>
        <v>0</v>
      </c>
      <c r="AX306" s="31">
        <f>ROUND(G306*AP306,2)</f>
        <v>0</v>
      </c>
      <c r="AY306" s="34" t="s">
        <v>392</v>
      </c>
      <c r="AZ306" s="34" t="s">
        <v>295</v>
      </c>
      <c r="BA306" s="12" t="s">
        <v>63</v>
      </c>
      <c r="BC306" s="31">
        <f>AW306+AX306</f>
        <v>0</v>
      </c>
      <c r="BD306" s="31">
        <f>H306/(100-BE306)*100</f>
        <v>0</v>
      </c>
      <c r="BE306" s="31">
        <v>0</v>
      </c>
      <c r="BF306" s="31">
        <f>O306</f>
        <v>0.90300000000000002</v>
      </c>
      <c r="BH306" s="31">
        <f>G306*AO306</f>
        <v>0</v>
      </c>
      <c r="BI306" s="31">
        <f>G306*AP306</f>
        <v>0</v>
      </c>
      <c r="BJ306" s="31">
        <f>G306*H306</f>
        <v>0</v>
      </c>
      <c r="BK306" s="34" t="s">
        <v>203</v>
      </c>
      <c r="BL306" s="31"/>
      <c r="BW306" s="31">
        <f>I306</f>
        <v>21</v>
      </c>
      <c r="BX306" s="4" t="s">
        <v>395</v>
      </c>
    </row>
    <row r="307" spans="1:76" x14ac:dyDescent="0.25">
      <c r="A307" s="43"/>
      <c r="B307" s="44"/>
      <c r="C307" s="44"/>
      <c r="D307" s="87" t="s">
        <v>396</v>
      </c>
      <c r="E307" s="36" t="s">
        <v>53</v>
      </c>
      <c r="F307" s="44"/>
      <c r="G307" s="37">
        <v>52.5</v>
      </c>
      <c r="H307" s="44"/>
      <c r="I307" s="44"/>
      <c r="J307" s="44"/>
      <c r="K307" s="44"/>
      <c r="L307" s="44"/>
      <c r="M307" s="44"/>
      <c r="N307" s="44"/>
      <c r="O307" s="44"/>
      <c r="P307" s="45"/>
      <c r="BX307" t="s">
        <v>396</v>
      </c>
    </row>
    <row r="308" spans="1:76" x14ac:dyDescent="0.25">
      <c r="A308" s="2">
        <f>A306+1</f>
        <v>102</v>
      </c>
      <c r="B308" s="3" t="s">
        <v>53</v>
      </c>
      <c r="C308" s="3" t="s">
        <v>397</v>
      </c>
      <c r="D308" s="310" t="s">
        <v>398</v>
      </c>
      <c r="E308" s="307"/>
      <c r="F308" s="3" t="s">
        <v>71</v>
      </c>
      <c r="G308" s="31">
        <v>31</v>
      </c>
      <c r="H308" s="31">
        <v>0</v>
      </c>
      <c r="I308" s="32">
        <v>21</v>
      </c>
      <c r="J308" s="31">
        <f>ROUND(G308*AO308,2)</f>
        <v>0</v>
      </c>
      <c r="K308" s="31">
        <f>ROUND(G308*AP308,2)</f>
        <v>0</v>
      </c>
      <c r="L308" s="31">
        <f>ROUND(G308*H308,2)</f>
        <v>0</v>
      </c>
      <c r="M308" s="31">
        <f>L308*(1+BW308/100)</f>
        <v>0</v>
      </c>
      <c r="N308" s="31">
        <v>2.0000000000000002E-5</v>
      </c>
      <c r="O308" s="31">
        <f>G308*N308</f>
        <v>6.2E-4</v>
      </c>
      <c r="P308" s="33" t="s">
        <v>60</v>
      </c>
      <c r="Z308" s="31">
        <f>ROUND(IF(AQ308="5",BJ308,0),2)</f>
        <v>0</v>
      </c>
      <c r="AB308" s="31">
        <f>ROUND(IF(AQ308="1",BH308,0),2)</f>
        <v>0</v>
      </c>
      <c r="AC308" s="31">
        <f>ROUND(IF(AQ308="1",BI308,0),2)</f>
        <v>0</v>
      </c>
      <c r="AD308" s="31">
        <f>ROUND(IF(AQ308="7",BH308,0),2)</f>
        <v>0</v>
      </c>
      <c r="AE308" s="31">
        <f>ROUND(IF(AQ308="7",BI308,0),2)</f>
        <v>0</v>
      </c>
      <c r="AF308" s="31">
        <f>ROUND(IF(AQ308="2",BH308,0),2)</f>
        <v>0</v>
      </c>
      <c r="AG308" s="31">
        <f>ROUND(IF(AQ308="2",BI308,0),2)</f>
        <v>0</v>
      </c>
      <c r="AH308" s="31">
        <f>ROUND(IF(AQ308="0",BJ308,0),2)</f>
        <v>0</v>
      </c>
      <c r="AI308" s="12" t="s">
        <v>53</v>
      </c>
      <c r="AJ308" s="31">
        <f>IF(AN308=0,L308,0)</f>
        <v>0</v>
      </c>
      <c r="AK308" s="31">
        <f>IF(AN308=12,L308,0)</f>
        <v>0</v>
      </c>
      <c r="AL308" s="31">
        <f>IF(AN308=21,L308,0)</f>
        <v>0</v>
      </c>
      <c r="AN308" s="31">
        <v>21</v>
      </c>
      <c r="AO308" s="31">
        <f>H308*0.018697674</f>
        <v>0</v>
      </c>
      <c r="AP308" s="31">
        <f>H308*(1-0.018697674)</f>
        <v>0</v>
      </c>
      <c r="AQ308" s="34" t="s">
        <v>68</v>
      </c>
      <c r="AV308" s="31">
        <f>ROUND(AW308+AX308,2)</f>
        <v>0</v>
      </c>
      <c r="AW308" s="31">
        <f>ROUND(G308*AO308,2)</f>
        <v>0</v>
      </c>
      <c r="AX308" s="31">
        <f>ROUND(G308*AP308,2)</f>
        <v>0</v>
      </c>
      <c r="AY308" s="34" t="s">
        <v>392</v>
      </c>
      <c r="AZ308" s="34" t="s">
        <v>295</v>
      </c>
      <c r="BA308" s="12" t="s">
        <v>63</v>
      </c>
      <c r="BC308" s="31">
        <f>AW308+AX308</f>
        <v>0</v>
      </c>
      <c r="BD308" s="31">
        <f>H308/(100-BE308)*100</f>
        <v>0</v>
      </c>
      <c r="BE308" s="31">
        <v>0</v>
      </c>
      <c r="BF308" s="31">
        <f>O308</f>
        <v>6.2E-4</v>
      </c>
      <c r="BH308" s="31">
        <f>G308*AO308</f>
        <v>0</v>
      </c>
      <c r="BI308" s="31">
        <f>G308*AP308</f>
        <v>0</v>
      </c>
      <c r="BJ308" s="31">
        <f>G308*H308</f>
        <v>0</v>
      </c>
      <c r="BK308" s="34" t="s">
        <v>64</v>
      </c>
      <c r="BL308" s="31"/>
      <c r="BW308" s="31">
        <f>I308</f>
        <v>21</v>
      </c>
      <c r="BX308" s="4" t="s">
        <v>398</v>
      </c>
    </row>
    <row r="309" spans="1:76" x14ac:dyDescent="0.25">
      <c r="A309" s="43"/>
      <c r="B309" s="44"/>
      <c r="C309" s="44"/>
      <c r="D309" s="201" t="s">
        <v>399</v>
      </c>
      <c r="E309" s="36" t="s">
        <v>53</v>
      </c>
      <c r="F309" s="44"/>
      <c r="G309" s="37">
        <v>31</v>
      </c>
      <c r="H309" s="44"/>
      <c r="I309" s="44"/>
      <c r="J309" s="44"/>
      <c r="K309" s="44"/>
      <c r="L309" s="44"/>
      <c r="M309" s="44"/>
      <c r="N309" s="44"/>
      <c r="O309" s="44"/>
      <c r="P309" s="45"/>
      <c r="BX309" t="s">
        <v>399</v>
      </c>
    </row>
    <row r="310" spans="1:76" x14ac:dyDescent="0.25">
      <c r="A310" s="2">
        <f>A308+1</f>
        <v>103</v>
      </c>
      <c r="B310" s="3" t="s">
        <v>53</v>
      </c>
      <c r="C310" s="3" t="s">
        <v>400</v>
      </c>
      <c r="D310" s="310" t="s">
        <v>401</v>
      </c>
      <c r="E310" s="307"/>
      <c r="F310" s="3" t="s">
        <v>71</v>
      </c>
      <c r="G310" s="31">
        <v>34.1</v>
      </c>
      <c r="H310" s="31">
        <v>0</v>
      </c>
      <c r="I310" s="32">
        <v>21</v>
      </c>
      <c r="J310" s="31">
        <f>ROUND(G310*AO310,2)</f>
        <v>0</v>
      </c>
      <c r="K310" s="31">
        <f>ROUND(G310*AP310,2)</f>
        <v>0</v>
      </c>
      <c r="L310" s="31">
        <f>ROUND(G310*H310,2)</f>
        <v>0</v>
      </c>
      <c r="M310" s="31">
        <f>L310*(1+BW310/100)</f>
        <v>0</v>
      </c>
      <c r="N310" s="31">
        <v>1.66E-3</v>
      </c>
      <c r="O310" s="31">
        <f>G310*N310</f>
        <v>5.6606000000000004E-2</v>
      </c>
      <c r="P310" s="33" t="s">
        <v>60</v>
      </c>
      <c r="Z310" s="31">
        <f>ROUND(IF(AQ310="5",BJ310,0),2)</f>
        <v>0</v>
      </c>
      <c r="AB310" s="31">
        <f>ROUND(IF(AQ310="1",BH310,0),2)</f>
        <v>0</v>
      </c>
      <c r="AC310" s="31">
        <f>ROUND(IF(AQ310="1",BI310,0),2)</f>
        <v>0</v>
      </c>
      <c r="AD310" s="31">
        <f>ROUND(IF(AQ310="7",BH310,0),2)</f>
        <v>0</v>
      </c>
      <c r="AE310" s="31">
        <f>ROUND(IF(AQ310="7",BI310,0),2)</f>
        <v>0</v>
      </c>
      <c r="AF310" s="31">
        <f>ROUND(IF(AQ310="2",BH310,0),2)</f>
        <v>0</v>
      </c>
      <c r="AG310" s="31">
        <f>ROUND(IF(AQ310="2",BI310,0),2)</f>
        <v>0</v>
      </c>
      <c r="AH310" s="31">
        <f>ROUND(IF(AQ310="0",BJ310,0),2)</f>
        <v>0</v>
      </c>
      <c r="AI310" s="12" t="s">
        <v>53</v>
      </c>
      <c r="AJ310" s="31">
        <f>IF(AN310=0,L310,0)</f>
        <v>0</v>
      </c>
      <c r="AK310" s="31">
        <f>IF(AN310=12,L310,0)</f>
        <v>0</v>
      </c>
      <c r="AL310" s="31">
        <f>IF(AN310=21,L310,0)</f>
        <v>0</v>
      </c>
      <c r="AN310" s="31">
        <v>21</v>
      </c>
      <c r="AO310" s="31">
        <f>H310*1</f>
        <v>0</v>
      </c>
      <c r="AP310" s="31">
        <f>H310*(1-1)</f>
        <v>0</v>
      </c>
      <c r="AQ310" s="34" t="s">
        <v>56</v>
      </c>
      <c r="AV310" s="31">
        <f>ROUND(AW310+AX310,2)</f>
        <v>0</v>
      </c>
      <c r="AW310" s="31">
        <f>ROUND(G310*AO310,2)</f>
        <v>0</v>
      </c>
      <c r="AX310" s="31">
        <f>ROUND(G310*AP310,2)</f>
        <v>0</v>
      </c>
      <c r="AY310" s="34" t="s">
        <v>392</v>
      </c>
      <c r="AZ310" s="34" t="s">
        <v>295</v>
      </c>
      <c r="BA310" s="12" t="s">
        <v>63</v>
      </c>
      <c r="BC310" s="31">
        <f>AW310+AX310</f>
        <v>0</v>
      </c>
      <c r="BD310" s="31">
        <f>H310/(100-BE310)*100</f>
        <v>0</v>
      </c>
      <c r="BE310" s="31">
        <v>0</v>
      </c>
      <c r="BF310" s="31">
        <f>O310</f>
        <v>5.6606000000000004E-2</v>
      </c>
      <c r="BH310" s="31">
        <f>G310*AO310</f>
        <v>0</v>
      </c>
      <c r="BI310" s="31">
        <f>G310*AP310</f>
        <v>0</v>
      </c>
      <c r="BJ310" s="31">
        <f>G310*H310</f>
        <v>0</v>
      </c>
      <c r="BK310" s="34" t="s">
        <v>203</v>
      </c>
      <c r="BL310" s="31"/>
      <c r="BW310" s="31">
        <f>I310</f>
        <v>21</v>
      </c>
      <c r="BX310" s="4" t="s">
        <v>401</v>
      </c>
    </row>
    <row r="311" spans="1:76" x14ac:dyDescent="0.25">
      <c r="A311" s="43"/>
      <c r="B311" s="44"/>
      <c r="C311" s="44"/>
      <c r="D311" s="201" t="s">
        <v>402</v>
      </c>
      <c r="E311" s="36" t="s">
        <v>53</v>
      </c>
      <c r="F311" s="44"/>
      <c r="G311" s="37">
        <v>34.1</v>
      </c>
      <c r="H311" s="44"/>
      <c r="I311" s="44"/>
      <c r="J311" s="44"/>
      <c r="K311" s="44"/>
      <c r="L311" s="44"/>
      <c r="M311" s="44"/>
      <c r="N311" s="44"/>
      <c r="O311" s="44"/>
      <c r="P311" s="45"/>
      <c r="BX311" t="s">
        <v>402</v>
      </c>
    </row>
    <row r="312" spans="1:76" x14ac:dyDescent="0.25">
      <c r="A312" s="2">
        <f>A310+1</f>
        <v>104</v>
      </c>
      <c r="B312" s="3" t="s">
        <v>53</v>
      </c>
      <c r="C312" s="3" t="s">
        <v>403</v>
      </c>
      <c r="D312" s="310" t="s">
        <v>404</v>
      </c>
      <c r="E312" s="307"/>
      <c r="F312" s="3" t="s">
        <v>71</v>
      </c>
      <c r="G312" s="31">
        <v>62</v>
      </c>
      <c r="H312" s="31">
        <v>0</v>
      </c>
      <c r="I312" s="32">
        <v>21</v>
      </c>
      <c r="J312" s="31">
        <f>ROUND(G312*AO312,2)</f>
        <v>0</v>
      </c>
      <c r="K312" s="31">
        <f>ROUND(G312*AP312,2)</f>
        <v>0</v>
      </c>
      <c r="L312" s="31">
        <f>ROUND(G312*H312,2)</f>
        <v>0</v>
      </c>
      <c r="M312" s="31">
        <f>L312*(1+BW312/100)</f>
        <v>0</v>
      </c>
      <c r="N312" s="31">
        <v>0</v>
      </c>
      <c r="O312" s="31">
        <f>G312*N312</f>
        <v>0</v>
      </c>
      <c r="P312" s="33" t="s">
        <v>60</v>
      </c>
      <c r="Z312" s="31">
        <f>ROUND(IF(AQ312="5",BJ312,0),2)</f>
        <v>0</v>
      </c>
      <c r="AB312" s="31">
        <f>ROUND(IF(AQ312="1",BH312,0),2)</f>
        <v>0</v>
      </c>
      <c r="AC312" s="31">
        <f>ROUND(IF(AQ312="1",BI312,0),2)</f>
        <v>0</v>
      </c>
      <c r="AD312" s="31">
        <f>ROUND(IF(AQ312="7",BH312,0),2)</f>
        <v>0</v>
      </c>
      <c r="AE312" s="31">
        <f>ROUND(IF(AQ312="7",BI312,0),2)</f>
        <v>0</v>
      </c>
      <c r="AF312" s="31">
        <f>ROUND(IF(AQ312="2",BH312,0),2)</f>
        <v>0</v>
      </c>
      <c r="AG312" s="31">
        <f>ROUND(IF(AQ312="2",BI312,0),2)</f>
        <v>0</v>
      </c>
      <c r="AH312" s="31">
        <f>ROUND(IF(AQ312="0",BJ312,0),2)</f>
        <v>0</v>
      </c>
      <c r="AI312" s="12" t="s">
        <v>53</v>
      </c>
      <c r="AJ312" s="31">
        <f>IF(AN312=0,L312,0)</f>
        <v>0</v>
      </c>
      <c r="AK312" s="31">
        <f>IF(AN312=12,L312,0)</f>
        <v>0</v>
      </c>
      <c r="AL312" s="31">
        <f>IF(AN312=21,L312,0)</f>
        <v>0</v>
      </c>
      <c r="AN312" s="31">
        <v>21</v>
      </c>
      <c r="AO312" s="31">
        <f>H312*0</f>
        <v>0</v>
      </c>
      <c r="AP312" s="31">
        <f>H312*(1-0)</f>
        <v>0</v>
      </c>
      <c r="AQ312" s="34" t="s">
        <v>68</v>
      </c>
      <c r="AV312" s="31">
        <f>ROUND(AW312+AX312,2)</f>
        <v>0</v>
      </c>
      <c r="AW312" s="31">
        <f>ROUND(G312*AO312,2)</f>
        <v>0</v>
      </c>
      <c r="AX312" s="31">
        <f>ROUND(G312*AP312,2)</f>
        <v>0</v>
      </c>
      <c r="AY312" s="34" t="s">
        <v>392</v>
      </c>
      <c r="AZ312" s="34" t="s">
        <v>295</v>
      </c>
      <c r="BA312" s="12" t="s">
        <v>63</v>
      </c>
      <c r="BC312" s="31">
        <f>AW312+AX312</f>
        <v>0</v>
      </c>
      <c r="BD312" s="31">
        <f>H312/(100-BE312)*100</f>
        <v>0</v>
      </c>
      <c r="BE312" s="31">
        <v>0</v>
      </c>
      <c r="BF312" s="31">
        <f>O312</f>
        <v>0</v>
      </c>
      <c r="BH312" s="31">
        <f>G312*AO312</f>
        <v>0</v>
      </c>
      <c r="BI312" s="31">
        <f>G312*AP312</f>
        <v>0</v>
      </c>
      <c r="BJ312" s="31">
        <f>G312*H312</f>
        <v>0</v>
      </c>
      <c r="BK312" s="34" t="s">
        <v>64</v>
      </c>
      <c r="BL312" s="31"/>
      <c r="BW312" s="31">
        <f>I312</f>
        <v>21</v>
      </c>
      <c r="BX312" s="4" t="s">
        <v>404</v>
      </c>
    </row>
    <row r="313" spans="1:76" x14ac:dyDescent="0.25">
      <c r="A313" s="35"/>
      <c r="D313" s="87" t="s">
        <v>405</v>
      </c>
      <c r="E313" s="36" t="s">
        <v>53</v>
      </c>
      <c r="G313" s="37">
        <v>62</v>
      </c>
      <c r="P313" s="38"/>
      <c r="BX313" t="s">
        <v>405</v>
      </c>
    </row>
    <row r="314" spans="1:76" x14ac:dyDescent="0.25">
      <c r="A314" s="2">
        <f>A312+1</f>
        <v>105</v>
      </c>
      <c r="B314" s="3" t="s">
        <v>53</v>
      </c>
      <c r="C314" s="3" t="s">
        <v>406</v>
      </c>
      <c r="D314" s="310" t="s">
        <v>407</v>
      </c>
      <c r="E314" s="307"/>
      <c r="F314" s="3" t="s">
        <v>71</v>
      </c>
      <c r="G314" s="31">
        <v>50</v>
      </c>
      <c r="H314" s="31">
        <v>0</v>
      </c>
      <c r="I314" s="32">
        <v>21</v>
      </c>
      <c r="J314" s="31">
        <f>ROUND(G314*AO314,2)</f>
        <v>0</v>
      </c>
      <c r="K314" s="31">
        <f>ROUND(G314*AP314,2)</f>
        <v>0</v>
      </c>
      <c r="L314" s="31">
        <f>ROUND(G314*H314,2)</f>
        <v>0</v>
      </c>
      <c r="M314" s="31">
        <f>L314*(1+BW314/100)</f>
        <v>0</v>
      </c>
      <c r="N314" s="31">
        <v>0</v>
      </c>
      <c r="O314" s="31">
        <f>G314*N314</f>
        <v>0</v>
      </c>
      <c r="P314" s="33" t="s">
        <v>60</v>
      </c>
      <c r="Z314" s="31">
        <f>ROUND(IF(AQ314="5",BJ314,0),2)</f>
        <v>0</v>
      </c>
      <c r="AB314" s="31">
        <f>ROUND(IF(AQ314="1",BH314,0),2)</f>
        <v>0</v>
      </c>
      <c r="AC314" s="31">
        <f>ROUND(IF(AQ314="1",BI314,0),2)</f>
        <v>0</v>
      </c>
      <c r="AD314" s="31">
        <f>ROUND(IF(AQ314="7",BH314,0),2)</f>
        <v>0</v>
      </c>
      <c r="AE314" s="31">
        <f>ROUND(IF(AQ314="7",BI314,0),2)</f>
        <v>0</v>
      </c>
      <c r="AF314" s="31">
        <f>ROUND(IF(AQ314="2",BH314,0),2)</f>
        <v>0</v>
      </c>
      <c r="AG314" s="31">
        <f>ROUND(IF(AQ314="2",BI314,0),2)</f>
        <v>0</v>
      </c>
      <c r="AH314" s="31">
        <f>ROUND(IF(AQ314="0",BJ314,0),2)</f>
        <v>0</v>
      </c>
      <c r="AI314" s="12" t="s">
        <v>53</v>
      </c>
      <c r="AJ314" s="31">
        <f>IF(AN314=0,L314,0)</f>
        <v>0</v>
      </c>
      <c r="AK314" s="31">
        <f>IF(AN314=12,L314,0)</f>
        <v>0</v>
      </c>
      <c r="AL314" s="31">
        <f>IF(AN314=21,L314,0)</f>
        <v>0</v>
      </c>
      <c r="AN314" s="31">
        <v>21</v>
      </c>
      <c r="AO314" s="31">
        <f>H314*0</f>
        <v>0</v>
      </c>
      <c r="AP314" s="31">
        <f>H314*(1-0)</f>
        <v>0</v>
      </c>
      <c r="AQ314" s="34" t="s">
        <v>68</v>
      </c>
      <c r="AV314" s="31">
        <f>ROUND(AW314+AX314,2)</f>
        <v>0</v>
      </c>
      <c r="AW314" s="31">
        <f>ROUND(G314*AO314,2)</f>
        <v>0</v>
      </c>
      <c r="AX314" s="31">
        <f>ROUND(G314*AP314,2)</f>
        <v>0</v>
      </c>
      <c r="AY314" s="34" t="s">
        <v>392</v>
      </c>
      <c r="AZ314" s="34" t="s">
        <v>295</v>
      </c>
      <c r="BA314" s="12" t="s">
        <v>63</v>
      </c>
      <c r="BC314" s="31">
        <f>AW314+AX314</f>
        <v>0</v>
      </c>
      <c r="BD314" s="31">
        <f>H314/(100-BE314)*100</f>
        <v>0</v>
      </c>
      <c r="BE314" s="31">
        <v>0</v>
      </c>
      <c r="BF314" s="31">
        <f>O314</f>
        <v>0</v>
      </c>
      <c r="BH314" s="31">
        <f>G314*AO314</f>
        <v>0</v>
      </c>
      <c r="BI314" s="31">
        <f>G314*AP314</f>
        <v>0</v>
      </c>
      <c r="BJ314" s="31">
        <f>G314*H314</f>
        <v>0</v>
      </c>
      <c r="BK314" s="34" t="s">
        <v>64</v>
      </c>
      <c r="BL314" s="31"/>
      <c r="BW314" s="31">
        <f>I314</f>
        <v>21</v>
      </c>
      <c r="BX314" s="4" t="s">
        <v>407</v>
      </c>
    </row>
    <row r="315" spans="1:76" x14ac:dyDescent="0.25">
      <c r="A315" s="43"/>
      <c r="B315" s="44"/>
      <c r="C315" s="44"/>
      <c r="D315" s="87" t="s">
        <v>408</v>
      </c>
      <c r="E315" s="36" t="s">
        <v>53</v>
      </c>
      <c r="F315" s="44"/>
      <c r="G315" s="37">
        <v>50</v>
      </c>
      <c r="H315" s="44"/>
      <c r="I315" s="44"/>
      <c r="J315" s="44"/>
      <c r="K315" s="44"/>
      <c r="L315" s="44"/>
      <c r="M315" s="44"/>
      <c r="N315" s="44"/>
      <c r="O315" s="44"/>
      <c r="P315" s="45"/>
      <c r="BX315" t="s">
        <v>408</v>
      </c>
    </row>
    <row r="316" spans="1:76" x14ac:dyDescent="0.25">
      <c r="A316" s="2">
        <f>A314+1</f>
        <v>106</v>
      </c>
      <c r="B316" s="3" t="s">
        <v>53</v>
      </c>
      <c r="C316" s="3" t="s">
        <v>409</v>
      </c>
      <c r="D316" s="310" t="s">
        <v>410</v>
      </c>
      <c r="E316" s="307"/>
      <c r="F316" s="3" t="s">
        <v>71</v>
      </c>
      <c r="G316" s="31">
        <v>325.8</v>
      </c>
      <c r="H316" s="31">
        <v>0</v>
      </c>
      <c r="I316" s="32">
        <v>21</v>
      </c>
      <c r="J316" s="31">
        <f>ROUND(G316*AO316,2)</f>
        <v>0</v>
      </c>
      <c r="K316" s="31">
        <f>ROUND(G316*AP316,2)</f>
        <v>0</v>
      </c>
      <c r="L316" s="31">
        <f>ROUND(G316*H316,2)</f>
        <v>0</v>
      </c>
      <c r="M316" s="31">
        <f>L316*(1+BW316/100)</f>
        <v>0</v>
      </c>
      <c r="N316" s="31">
        <v>0</v>
      </c>
      <c r="O316" s="31">
        <f>G316*N316</f>
        <v>0</v>
      </c>
      <c r="P316" s="33" t="s">
        <v>60</v>
      </c>
      <c r="Z316" s="31">
        <f>ROUND(IF(AQ316="5",BJ316,0),2)</f>
        <v>0</v>
      </c>
      <c r="AB316" s="31">
        <f>ROUND(IF(AQ316="1",BH316,0),2)</f>
        <v>0</v>
      </c>
      <c r="AC316" s="31">
        <f>ROUND(IF(AQ316="1",BI316,0),2)</f>
        <v>0</v>
      </c>
      <c r="AD316" s="31">
        <f>ROUND(IF(AQ316="7",BH316,0),2)</f>
        <v>0</v>
      </c>
      <c r="AE316" s="31">
        <f>ROUND(IF(AQ316="7",BI316,0),2)</f>
        <v>0</v>
      </c>
      <c r="AF316" s="31">
        <f>ROUND(IF(AQ316="2",BH316,0),2)</f>
        <v>0</v>
      </c>
      <c r="AG316" s="31">
        <f>ROUND(IF(AQ316="2",BI316,0),2)</f>
        <v>0</v>
      </c>
      <c r="AH316" s="31">
        <f>ROUND(IF(AQ316="0",BJ316,0),2)</f>
        <v>0</v>
      </c>
      <c r="AI316" s="12" t="s">
        <v>53</v>
      </c>
      <c r="AJ316" s="31">
        <f>IF(AN316=0,L316,0)</f>
        <v>0</v>
      </c>
      <c r="AK316" s="31">
        <f>IF(AN316=12,L316,0)</f>
        <v>0</v>
      </c>
      <c r="AL316" s="31">
        <f>IF(AN316=21,L316,0)</f>
        <v>0</v>
      </c>
      <c r="AN316" s="31">
        <v>21</v>
      </c>
      <c r="AO316" s="31">
        <f>H316*0</f>
        <v>0</v>
      </c>
      <c r="AP316" s="31">
        <f>H316*(1-0)</f>
        <v>0</v>
      </c>
      <c r="AQ316" s="34" t="s">
        <v>68</v>
      </c>
      <c r="AV316" s="31">
        <f>ROUND(AW316+AX316,2)</f>
        <v>0</v>
      </c>
      <c r="AW316" s="31">
        <f>ROUND(G316*AO316,2)</f>
        <v>0</v>
      </c>
      <c r="AX316" s="31">
        <f>ROUND(G316*AP316,2)</f>
        <v>0</v>
      </c>
      <c r="AY316" s="34" t="s">
        <v>392</v>
      </c>
      <c r="AZ316" s="34" t="s">
        <v>295</v>
      </c>
      <c r="BA316" s="12" t="s">
        <v>63</v>
      </c>
      <c r="BC316" s="31">
        <f>AW316+AX316</f>
        <v>0</v>
      </c>
      <c r="BD316" s="31">
        <f>H316/(100-BE316)*100</f>
        <v>0</v>
      </c>
      <c r="BE316" s="31">
        <v>0</v>
      </c>
      <c r="BF316" s="31">
        <f>O316</f>
        <v>0</v>
      </c>
      <c r="BH316" s="31">
        <f>G316*AO316</f>
        <v>0</v>
      </c>
      <c r="BI316" s="31">
        <f>G316*AP316</f>
        <v>0</v>
      </c>
      <c r="BJ316" s="31">
        <f>G316*H316</f>
        <v>0</v>
      </c>
      <c r="BK316" s="34" t="s">
        <v>64</v>
      </c>
      <c r="BL316" s="31"/>
      <c r="BW316" s="31">
        <f>I316</f>
        <v>21</v>
      </c>
      <c r="BX316" s="4" t="s">
        <v>410</v>
      </c>
    </row>
    <row r="317" spans="1:76" x14ac:dyDescent="0.25">
      <c r="A317" s="35"/>
      <c r="D317" s="87" t="s">
        <v>839</v>
      </c>
      <c r="E317" s="36" t="s">
        <v>53</v>
      </c>
      <c r="G317" s="37">
        <v>325.8</v>
      </c>
      <c r="P317" s="38"/>
      <c r="BX317" t="s">
        <v>839</v>
      </c>
    </row>
    <row r="318" spans="1:76" x14ac:dyDescent="0.25">
      <c r="A318" s="2">
        <f>A316+1</f>
        <v>107</v>
      </c>
      <c r="B318" s="3" t="s">
        <v>53</v>
      </c>
      <c r="C318" s="3" t="s">
        <v>411</v>
      </c>
      <c r="D318" s="310" t="s">
        <v>412</v>
      </c>
      <c r="E318" s="307"/>
      <c r="F318" s="3" t="s">
        <v>71</v>
      </c>
      <c r="G318" s="31">
        <v>636</v>
      </c>
      <c r="H318" s="31">
        <v>0</v>
      </c>
      <c r="I318" s="32">
        <v>21</v>
      </c>
      <c r="J318" s="31">
        <f>ROUND(G318*AO318,2)</f>
        <v>0</v>
      </c>
      <c r="K318" s="31">
        <f>ROUND(G318*AP318,2)</f>
        <v>0</v>
      </c>
      <c r="L318" s="31">
        <f>ROUND(G318*H318,2)</f>
        <v>0</v>
      </c>
      <c r="M318" s="31">
        <f>L318*(1+BW318/100)</f>
        <v>0</v>
      </c>
      <c r="N318" s="31">
        <v>0</v>
      </c>
      <c r="O318" s="31">
        <f>G318*N318</f>
        <v>0</v>
      </c>
      <c r="P318" s="33" t="s">
        <v>60</v>
      </c>
      <c r="Z318" s="31">
        <f>ROUND(IF(AQ318="5",BJ318,0),2)</f>
        <v>0</v>
      </c>
      <c r="AB318" s="31">
        <f>ROUND(IF(AQ318="1",BH318,0),2)</f>
        <v>0</v>
      </c>
      <c r="AC318" s="31">
        <f>ROUND(IF(AQ318="1",BI318,0),2)</f>
        <v>0</v>
      </c>
      <c r="AD318" s="31">
        <f>ROUND(IF(AQ318="7",BH318,0),2)</f>
        <v>0</v>
      </c>
      <c r="AE318" s="31">
        <f>ROUND(IF(AQ318="7",BI318,0),2)</f>
        <v>0</v>
      </c>
      <c r="AF318" s="31">
        <f>ROUND(IF(AQ318="2",BH318,0),2)</f>
        <v>0</v>
      </c>
      <c r="AG318" s="31">
        <f>ROUND(IF(AQ318="2",BI318,0),2)</f>
        <v>0</v>
      </c>
      <c r="AH318" s="31">
        <f>ROUND(IF(AQ318="0",BJ318,0),2)</f>
        <v>0</v>
      </c>
      <c r="AI318" s="12" t="s">
        <v>53</v>
      </c>
      <c r="AJ318" s="31">
        <f>IF(AN318=0,L318,0)</f>
        <v>0</v>
      </c>
      <c r="AK318" s="31">
        <f>IF(AN318=12,L318,0)</f>
        <v>0</v>
      </c>
      <c r="AL318" s="31">
        <f>IF(AN318=21,L318,0)</f>
        <v>0</v>
      </c>
      <c r="AN318" s="31">
        <v>21</v>
      </c>
      <c r="AO318" s="31">
        <f>H318*0</f>
        <v>0</v>
      </c>
      <c r="AP318" s="31">
        <f>H318*(1-0)</f>
        <v>0</v>
      </c>
      <c r="AQ318" s="34" t="s">
        <v>68</v>
      </c>
      <c r="AV318" s="31">
        <f>ROUND(AW318+AX318,2)</f>
        <v>0</v>
      </c>
      <c r="AW318" s="31">
        <f>ROUND(G318*AO318,2)</f>
        <v>0</v>
      </c>
      <c r="AX318" s="31">
        <f>ROUND(G318*AP318,2)</f>
        <v>0</v>
      </c>
      <c r="AY318" s="34" t="s">
        <v>392</v>
      </c>
      <c r="AZ318" s="34" t="s">
        <v>295</v>
      </c>
      <c r="BA318" s="12" t="s">
        <v>63</v>
      </c>
      <c r="BC318" s="31">
        <f>AW318+AX318</f>
        <v>0</v>
      </c>
      <c r="BD318" s="31">
        <f>H318/(100-BE318)*100</f>
        <v>0</v>
      </c>
      <c r="BE318" s="31">
        <v>0</v>
      </c>
      <c r="BF318" s="31">
        <f>O318</f>
        <v>0</v>
      </c>
      <c r="BH318" s="31">
        <f>G318*AO318</f>
        <v>0</v>
      </c>
      <c r="BI318" s="31">
        <f>G318*AP318</f>
        <v>0</v>
      </c>
      <c r="BJ318" s="31">
        <f>G318*H318</f>
        <v>0</v>
      </c>
      <c r="BK318" s="34" t="s">
        <v>64</v>
      </c>
      <c r="BL318" s="31"/>
      <c r="BW318" s="31">
        <f>I318</f>
        <v>21</v>
      </c>
      <c r="BX318" s="4" t="s">
        <v>412</v>
      </c>
    </row>
    <row r="319" spans="1:76" x14ac:dyDescent="0.25">
      <c r="A319" s="35"/>
      <c r="D319" s="87" t="s">
        <v>842</v>
      </c>
      <c r="E319" s="36" t="s">
        <v>53</v>
      </c>
      <c r="G319" s="37">
        <v>636</v>
      </c>
      <c r="P319" s="38"/>
      <c r="BX319" t="s">
        <v>842</v>
      </c>
    </row>
    <row r="320" spans="1:76" x14ac:dyDescent="0.25">
      <c r="A320" s="2">
        <f>A318</f>
        <v>107</v>
      </c>
      <c r="B320" s="3" t="s">
        <v>53</v>
      </c>
      <c r="C320" s="3" t="s">
        <v>413</v>
      </c>
      <c r="D320" s="390" t="s">
        <v>838</v>
      </c>
      <c r="E320" s="307"/>
      <c r="F320" s="3" t="s">
        <v>71</v>
      </c>
      <c r="G320" s="31">
        <v>50</v>
      </c>
      <c r="H320" s="31">
        <v>0</v>
      </c>
      <c r="I320" s="32">
        <v>21</v>
      </c>
      <c r="J320" s="31">
        <f>ROUND(G320*AO320,2)</f>
        <v>0</v>
      </c>
      <c r="K320" s="31">
        <f>ROUND(G320*AP320,2)</f>
        <v>0</v>
      </c>
      <c r="L320" s="31">
        <f>ROUND(G320*H320,2)</f>
        <v>0</v>
      </c>
      <c r="M320" s="31">
        <f>L320*(1+BW320/100)</f>
        <v>0</v>
      </c>
      <c r="N320" s="31">
        <v>0</v>
      </c>
      <c r="O320" s="31">
        <f>G320*N320</f>
        <v>0</v>
      </c>
      <c r="P320" s="33" t="s">
        <v>60</v>
      </c>
      <c r="Z320" s="31">
        <f>ROUND(IF(AQ320="5",BJ320,0),2)</f>
        <v>0</v>
      </c>
      <c r="AB320" s="31">
        <f>ROUND(IF(AQ320="1",BH320,0),2)</f>
        <v>0</v>
      </c>
      <c r="AC320" s="31">
        <f>ROUND(IF(AQ320="1",BI320,0),2)</f>
        <v>0</v>
      </c>
      <c r="AD320" s="31">
        <f>ROUND(IF(AQ320="7",BH320,0),2)</f>
        <v>0</v>
      </c>
      <c r="AE320" s="31">
        <f>ROUND(IF(AQ320="7",BI320,0),2)</f>
        <v>0</v>
      </c>
      <c r="AF320" s="31">
        <f>ROUND(IF(AQ320="2",BH320,0),2)</f>
        <v>0</v>
      </c>
      <c r="AG320" s="31">
        <f>ROUND(IF(AQ320="2",BI320,0),2)</f>
        <v>0</v>
      </c>
      <c r="AH320" s="31">
        <f>ROUND(IF(AQ320="0",BJ320,0),2)</f>
        <v>0</v>
      </c>
      <c r="AI320" s="12" t="s">
        <v>53</v>
      </c>
      <c r="AJ320" s="31">
        <f>IF(AN320=0,L320,0)</f>
        <v>0</v>
      </c>
      <c r="AK320" s="31">
        <f>IF(AN320=12,L320,0)</f>
        <v>0</v>
      </c>
      <c r="AL320" s="31">
        <f>IF(AN320=21,L320,0)</f>
        <v>0</v>
      </c>
      <c r="AN320" s="31">
        <v>21</v>
      </c>
      <c r="AO320" s="31">
        <f>H320*0</f>
        <v>0</v>
      </c>
      <c r="AP320" s="31">
        <f>H320*(1-0)</f>
        <v>0</v>
      </c>
      <c r="AQ320" s="34" t="s">
        <v>68</v>
      </c>
      <c r="AV320" s="31">
        <f>ROUND(AW320+AX320,2)</f>
        <v>0</v>
      </c>
      <c r="AW320" s="31">
        <f>ROUND(G320*AO320,2)</f>
        <v>0</v>
      </c>
      <c r="AX320" s="31">
        <f>ROUND(G320*AP320,2)</f>
        <v>0</v>
      </c>
      <c r="AY320" s="34" t="s">
        <v>392</v>
      </c>
      <c r="AZ320" s="34" t="s">
        <v>295</v>
      </c>
      <c r="BA320" s="12" t="s">
        <v>63</v>
      </c>
      <c r="BC320" s="31">
        <f>AW320+AX320</f>
        <v>0</v>
      </c>
      <c r="BD320" s="31">
        <f>H320/(100-BE320)*100</f>
        <v>0</v>
      </c>
      <c r="BE320" s="31">
        <v>0</v>
      </c>
      <c r="BF320" s="31">
        <f>O320</f>
        <v>0</v>
      </c>
      <c r="BH320" s="31">
        <f>G320*AO320</f>
        <v>0</v>
      </c>
      <c r="BI320" s="31">
        <f>G320*AP320</f>
        <v>0</v>
      </c>
      <c r="BJ320" s="31">
        <f>G320*H320</f>
        <v>0</v>
      </c>
      <c r="BK320" s="34" t="s">
        <v>64</v>
      </c>
      <c r="BL320" s="31"/>
      <c r="BW320" s="31">
        <f>I320</f>
        <v>21</v>
      </c>
      <c r="BX320" s="4" t="s">
        <v>838</v>
      </c>
    </row>
    <row r="321" spans="1:76" x14ac:dyDescent="0.25">
      <c r="A321" s="43"/>
      <c r="B321" s="44"/>
      <c r="C321" s="44"/>
      <c r="D321" s="201" t="s">
        <v>408</v>
      </c>
      <c r="E321" s="102" t="s">
        <v>53</v>
      </c>
      <c r="F321" s="44"/>
      <c r="G321" s="37">
        <v>50</v>
      </c>
      <c r="H321" s="44"/>
      <c r="I321" s="44"/>
      <c r="J321" s="44"/>
      <c r="K321" s="44"/>
      <c r="L321" s="44"/>
      <c r="M321" s="44"/>
      <c r="N321" s="44"/>
      <c r="O321" s="44"/>
      <c r="P321" s="45"/>
      <c r="BX321" t="s">
        <v>408</v>
      </c>
    </row>
    <row r="322" spans="1:76" x14ac:dyDescent="0.25">
      <c r="A322" s="2">
        <f>A320+1</f>
        <v>108</v>
      </c>
      <c r="B322" s="3" t="s">
        <v>53</v>
      </c>
      <c r="C322" s="3" t="s">
        <v>414</v>
      </c>
      <c r="D322" s="390" t="s">
        <v>415</v>
      </c>
      <c r="E322" s="307"/>
      <c r="F322" s="3" t="s">
        <v>71</v>
      </c>
      <c r="G322" s="31">
        <v>636</v>
      </c>
      <c r="H322" s="31">
        <v>0</v>
      </c>
      <c r="I322" s="32">
        <v>21</v>
      </c>
      <c r="J322" s="31">
        <f>ROUND(G322*AO322,2)</f>
        <v>0</v>
      </c>
      <c r="K322" s="31">
        <f>ROUND(G322*AP322,2)</f>
        <v>0</v>
      </c>
      <c r="L322" s="31">
        <f>ROUND(G322*H322,2)</f>
        <v>0</v>
      </c>
      <c r="M322" s="31">
        <f>L322*(1+BW322/100)</f>
        <v>0</v>
      </c>
      <c r="N322" s="31">
        <v>0</v>
      </c>
      <c r="O322" s="31">
        <f>G322*N322</f>
        <v>0</v>
      </c>
      <c r="P322" s="33" t="s">
        <v>60</v>
      </c>
      <c r="Z322" s="31">
        <f>ROUND(IF(AQ322="5",BJ322,0),2)</f>
        <v>0</v>
      </c>
      <c r="AB322" s="31">
        <f>ROUND(IF(AQ322="1",BH322,0),2)</f>
        <v>0</v>
      </c>
      <c r="AC322" s="31">
        <f>ROUND(IF(AQ322="1",BI322,0),2)</f>
        <v>0</v>
      </c>
      <c r="AD322" s="31">
        <f>ROUND(IF(AQ322="7",BH322,0),2)</f>
        <v>0</v>
      </c>
      <c r="AE322" s="31">
        <f>ROUND(IF(AQ322="7",BI322,0),2)</f>
        <v>0</v>
      </c>
      <c r="AF322" s="31">
        <f>ROUND(IF(AQ322="2",BH322,0),2)</f>
        <v>0</v>
      </c>
      <c r="AG322" s="31">
        <f>ROUND(IF(AQ322="2",BI322,0),2)</f>
        <v>0</v>
      </c>
      <c r="AH322" s="31">
        <f>ROUND(IF(AQ322="0",BJ322,0),2)</f>
        <v>0</v>
      </c>
      <c r="AI322" s="12" t="s">
        <v>53</v>
      </c>
      <c r="AJ322" s="31">
        <f>IF(AN322=0,L322,0)</f>
        <v>0</v>
      </c>
      <c r="AK322" s="31">
        <f>IF(AN322=12,L322,0)</f>
        <v>0</v>
      </c>
      <c r="AL322" s="31">
        <f>IF(AN322=21,L322,0)</f>
        <v>0</v>
      </c>
      <c r="AN322" s="31">
        <v>21</v>
      </c>
      <c r="AO322" s="31">
        <f>H322*0</f>
        <v>0</v>
      </c>
      <c r="AP322" s="31">
        <f>H322*(1-0)</f>
        <v>0</v>
      </c>
      <c r="AQ322" s="34" t="s">
        <v>68</v>
      </c>
      <c r="AV322" s="31">
        <f>ROUND(AW322+AX322,2)</f>
        <v>0</v>
      </c>
      <c r="AW322" s="31">
        <f>ROUND(G322*AO322,2)</f>
        <v>0</v>
      </c>
      <c r="AX322" s="31">
        <f>ROUND(G322*AP322,2)</f>
        <v>0</v>
      </c>
      <c r="AY322" s="34" t="s">
        <v>392</v>
      </c>
      <c r="AZ322" s="34" t="s">
        <v>295</v>
      </c>
      <c r="BA322" s="12" t="s">
        <v>63</v>
      </c>
      <c r="BC322" s="31">
        <f>AW322+AX322</f>
        <v>0</v>
      </c>
      <c r="BD322" s="31">
        <f>H322/(100-BE322)*100</f>
        <v>0</v>
      </c>
      <c r="BE322" s="31">
        <v>0</v>
      </c>
      <c r="BF322" s="31">
        <f>O322</f>
        <v>0</v>
      </c>
      <c r="BH322" s="31">
        <f>G322*AO322</f>
        <v>0</v>
      </c>
      <c r="BI322" s="31">
        <f>G322*AP322</f>
        <v>0</v>
      </c>
      <c r="BJ322" s="31">
        <f>G322*H322</f>
        <v>0</v>
      </c>
      <c r="BK322" s="34" t="s">
        <v>64</v>
      </c>
      <c r="BL322" s="31"/>
      <c r="BW322" s="31">
        <f>I322</f>
        <v>21</v>
      </c>
      <c r="BX322" s="4" t="s">
        <v>415</v>
      </c>
    </row>
    <row r="323" spans="1:76" x14ac:dyDescent="0.25">
      <c r="A323" s="2">
        <f>A322+1</f>
        <v>109</v>
      </c>
      <c r="B323" s="3" t="s">
        <v>53</v>
      </c>
      <c r="C323" s="3" t="s">
        <v>416</v>
      </c>
      <c r="D323" s="390" t="s">
        <v>837</v>
      </c>
      <c r="E323" s="307"/>
      <c r="F323" s="3" t="s">
        <v>71</v>
      </c>
      <c r="G323" s="31">
        <v>325.8</v>
      </c>
      <c r="H323" s="31">
        <v>0</v>
      </c>
      <c r="I323" s="32">
        <v>21</v>
      </c>
      <c r="J323" s="31">
        <f>ROUND(G323*AO323,2)</f>
        <v>0</v>
      </c>
      <c r="K323" s="31">
        <f>ROUND(G323*AP323,2)</f>
        <v>0</v>
      </c>
      <c r="L323" s="31">
        <f>ROUND(G323*H323,2)</f>
        <v>0</v>
      </c>
      <c r="M323" s="31">
        <f>L323*(1+BW323/100)</f>
        <v>0</v>
      </c>
      <c r="N323" s="31">
        <v>0</v>
      </c>
      <c r="O323" s="31">
        <f>G323*N323</f>
        <v>0</v>
      </c>
      <c r="P323" s="33" t="s">
        <v>60</v>
      </c>
      <c r="Z323" s="31">
        <f>ROUND(IF(AQ323="5",BJ323,0),2)</f>
        <v>0</v>
      </c>
      <c r="AB323" s="31">
        <f>ROUND(IF(AQ323="1",BH323,0),2)</f>
        <v>0</v>
      </c>
      <c r="AC323" s="31">
        <f>ROUND(IF(AQ323="1",BI323,0),2)</f>
        <v>0</v>
      </c>
      <c r="AD323" s="31">
        <f>ROUND(IF(AQ323="7",BH323,0),2)</f>
        <v>0</v>
      </c>
      <c r="AE323" s="31">
        <f>ROUND(IF(AQ323="7",BI323,0),2)</f>
        <v>0</v>
      </c>
      <c r="AF323" s="31">
        <f>ROUND(IF(AQ323="2",BH323,0),2)</f>
        <v>0</v>
      </c>
      <c r="AG323" s="31">
        <f>ROUND(IF(AQ323="2",BI323,0),2)</f>
        <v>0</v>
      </c>
      <c r="AH323" s="31">
        <f>ROUND(IF(AQ323="0",BJ323,0),2)</f>
        <v>0</v>
      </c>
      <c r="AI323" s="12" t="s">
        <v>53</v>
      </c>
      <c r="AJ323" s="31">
        <f>IF(AN323=0,L323,0)</f>
        <v>0</v>
      </c>
      <c r="AK323" s="31">
        <f>IF(AN323=12,L323,0)</f>
        <v>0</v>
      </c>
      <c r="AL323" s="31">
        <f>IF(AN323=21,L323,0)</f>
        <v>0</v>
      </c>
      <c r="AN323" s="31">
        <v>21</v>
      </c>
      <c r="AO323" s="31">
        <f>H323*0</f>
        <v>0</v>
      </c>
      <c r="AP323" s="31">
        <f>H323*(1-0)</f>
        <v>0</v>
      </c>
      <c r="AQ323" s="34" t="s">
        <v>68</v>
      </c>
      <c r="AV323" s="31">
        <f>ROUND(AW323+AX323,2)</f>
        <v>0</v>
      </c>
      <c r="AW323" s="31">
        <f>ROUND(G323*AO323,2)</f>
        <v>0</v>
      </c>
      <c r="AX323" s="31">
        <f>ROUND(G323*AP323,2)</f>
        <v>0</v>
      </c>
      <c r="AY323" s="34" t="s">
        <v>392</v>
      </c>
      <c r="AZ323" s="34" t="s">
        <v>295</v>
      </c>
      <c r="BA323" s="12" t="s">
        <v>63</v>
      </c>
      <c r="BC323" s="31">
        <f>AW323+AX323</f>
        <v>0</v>
      </c>
      <c r="BD323" s="31">
        <f>H323/(100-BE323)*100</f>
        <v>0</v>
      </c>
      <c r="BE323" s="31">
        <v>0</v>
      </c>
      <c r="BF323" s="31">
        <f>O323</f>
        <v>0</v>
      </c>
      <c r="BH323" s="31">
        <f>G323*AO323</f>
        <v>0</v>
      </c>
      <c r="BI323" s="31">
        <f>G323*AP323</f>
        <v>0</v>
      </c>
      <c r="BJ323" s="31">
        <f>G323*H323</f>
        <v>0</v>
      </c>
      <c r="BK323" s="34" t="s">
        <v>64</v>
      </c>
      <c r="BL323" s="31"/>
      <c r="BW323" s="31">
        <f>I323</f>
        <v>21</v>
      </c>
      <c r="BX323" s="4" t="s">
        <v>837</v>
      </c>
    </row>
    <row r="324" spans="1:76" x14ac:dyDescent="0.25">
      <c r="A324" s="35"/>
      <c r="D324" s="201" t="s">
        <v>839</v>
      </c>
      <c r="E324" s="102" t="s">
        <v>53</v>
      </c>
      <c r="G324" s="37">
        <v>325.8</v>
      </c>
      <c r="P324" s="38"/>
      <c r="BX324" t="s">
        <v>839</v>
      </c>
    </row>
    <row r="325" spans="1:76" x14ac:dyDescent="0.25">
      <c r="A325" s="2">
        <f>A323+1</f>
        <v>110</v>
      </c>
      <c r="B325" s="3" t="s">
        <v>53</v>
      </c>
      <c r="C325" s="3" t="s">
        <v>417</v>
      </c>
      <c r="D325" s="310" t="s">
        <v>418</v>
      </c>
      <c r="E325" s="307"/>
      <c r="F325" s="3" t="s">
        <v>71</v>
      </c>
      <c r="G325" s="31">
        <v>636</v>
      </c>
      <c r="H325" s="31">
        <v>0</v>
      </c>
      <c r="I325" s="32">
        <v>21</v>
      </c>
      <c r="J325" s="31">
        <f>ROUND(G325*AO325,2)</f>
        <v>0</v>
      </c>
      <c r="K325" s="31">
        <f>ROUND(G325*AP325,2)</f>
        <v>0</v>
      </c>
      <c r="L325" s="31">
        <f>ROUND(G325*H325,2)</f>
        <v>0</v>
      </c>
      <c r="M325" s="31">
        <f>L325*(1+BW325/100)</f>
        <v>0</v>
      </c>
      <c r="N325" s="31">
        <v>0</v>
      </c>
      <c r="O325" s="31">
        <f>G325*N325</f>
        <v>0</v>
      </c>
      <c r="P325" s="33" t="s">
        <v>60</v>
      </c>
      <c r="Z325" s="31">
        <f>ROUND(IF(AQ325="5",BJ325,0),2)</f>
        <v>0</v>
      </c>
      <c r="AB325" s="31">
        <f>ROUND(IF(AQ325="1",BH325,0),2)</f>
        <v>0</v>
      </c>
      <c r="AC325" s="31">
        <f>ROUND(IF(AQ325="1",BI325,0),2)</f>
        <v>0</v>
      </c>
      <c r="AD325" s="31">
        <f>ROUND(IF(AQ325="7",BH325,0),2)</f>
        <v>0</v>
      </c>
      <c r="AE325" s="31">
        <f>ROUND(IF(AQ325="7",BI325,0),2)</f>
        <v>0</v>
      </c>
      <c r="AF325" s="31">
        <f>ROUND(IF(AQ325="2",BH325,0),2)</f>
        <v>0</v>
      </c>
      <c r="AG325" s="31">
        <f>ROUND(IF(AQ325="2",BI325,0),2)</f>
        <v>0</v>
      </c>
      <c r="AH325" s="31">
        <f>ROUND(IF(AQ325="0",BJ325,0),2)</f>
        <v>0</v>
      </c>
      <c r="AI325" s="12" t="s">
        <v>53</v>
      </c>
      <c r="AJ325" s="31">
        <f>IF(AN325=0,L325,0)</f>
        <v>0</v>
      </c>
      <c r="AK325" s="31">
        <f>IF(AN325=12,L325,0)</f>
        <v>0</v>
      </c>
      <c r="AL325" s="31">
        <f>IF(AN325=21,L325,0)</f>
        <v>0</v>
      </c>
      <c r="AN325" s="31">
        <v>21</v>
      </c>
      <c r="AO325" s="31">
        <f>H325*0</f>
        <v>0</v>
      </c>
      <c r="AP325" s="31">
        <f>H325*(1-0)</f>
        <v>0</v>
      </c>
      <c r="AQ325" s="34" t="s">
        <v>68</v>
      </c>
      <c r="AV325" s="31">
        <f>ROUND(AW325+AX325,2)</f>
        <v>0</v>
      </c>
      <c r="AW325" s="31">
        <f>ROUND(G325*AO325,2)</f>
        <v>0</v>
      </c>
      <c r="AX325" s="31">
        <f>ROUND(G325*AP325,2)</f>
        <v>0</v>
      </c>
      <c r="AY325" s="34" t="s">
        <v>392</v>
      </c>
      <c r="AZ325" s="34" t="s">
        <v>295</v>
      </c>
      <c r="BA325" s="12" t="s">
        <v>63</v>
      </c>
      <c r="BC325" s="31">
        <f>AW325+AX325</f>
        <v>0</v>
      </c>
      <c r="BD325" s="31">
        <f>H325/(100-BE325)*100</f>
        <v>0</v>
      </c>
      <c r="BE325" s="31">
        <v>0</v>
      </c>
      <c r="BF325" s="31">
        <f>O325</f>
        <v>0</v>
      </c>
      <c r="BH325" s="31">
        <f>G325*AO325</f>
        <v>0</v>
      </c>
      <c r="BI325" s="31">
        <f>G325*AP325</f>
        <v>0</v>
      </c>
      <c r="BJ325" s="31">
        <f>G325*H325</f>
        <v>0</v>
      </c>
      <c r="BK325" s="34" t="s">
        <v>64</v>
      </c>
      <c r="BL325" s="31"/>
      <c r="BW325" s="31">
        <f>I325</f>
        <v>21</v>
      </c>
      <c r="BX325" s="4" t="s">
        <v>418</v>
      </c>
    </row>
    <row r="326" spans="1:76" x14ac:dyDescent="0.25">
      <c r="A326" s="35"/>
      <c r="D326" s="201" t="s">
        <v>842</v>
      </c>
      <c r="E326" s="36" t="s">
        <v>53</v>
      </c>
      <c r="G326" s="37">
        <v>636</v>
      </c>
      <c r="P326" s="38"/>
      <c r="BX326" t="s">
        <v>842</v>
      </c>
    </row>
    <row r="327" spans="1:76" x14ac:dyDescent="0.25">
      <c r="A327" s="2">
        <f>A325+1</f>
        <v>111</v>
      </c>
      <c r="B327" s="3" t="s">
        <v>53</v>
      </c>
      <c r="C327" s="3" t="s">
        <v>419</v>
      </c>
      <c r="D327" s="310" t="s">
        <v>420</v>
      </c>
      <c r="E327" s="307"/>
      <c r="F327" s="3" t="s">
        <v>71</v>
      </c>
      <c r="G327" s="31">
        <v>375.8</v>
      </c>
      <c r="H327" s="31">
        <v>0</v>
      </c>
      <c r="I327" s="32">
        <v>21</v>
      </c>
      <c r="J327" s="31">
        <f>ROUND(G327*AO327,2)</f>
        <v>0</v>
      </c>
      <c r="K327" s="31">
        <f>ROUND(G327*AP327,2)</f>
        <v>0</v>
      </c>
      <c r="L327" s="31">
        <f>ROUND(G327*H327,2)</f>
        <v>0</v>
      </c>
      <c r="M327" s="31">
        <f>L327*(1+BW327/100)</f>
        <v>0</v>
      </c>
      <c r="N327" s="31">
        <v>0</v>
      </c>
      <c r="O327" s="31">
        <f>G327*N327</f>
        <v>0</v>
      </c>
      <c r="P327" s="33" t="s">
        <v>60</v>
      </c>
      <c r="Z327" s="31">
        <f>ROUND(IF(AQ327="5",BJ327,0),2)</f>
        <v>0</v>
      </c>
      <c r="AB327" s="31">
        <f>ROUND(IF(AQ327="1",BH327,0),2)</f>
        <v>0</v>
      </c>
      <c r="AC327" s="31">
        <f>ROUND(IF(AQ327="1",BI327,0),2)</f>
        <v>0</v>
      </c>
      <c r="AD327" s="31">
        <f>ROUND(IF(AQ327="7",BH327,0),2)</f>
        <v>0</v>
      </c>
      <c r="AE327" s="31">
        <f>ROUND(IF(AQ327="7",BI327,0),2)</f>
        <v>0</v>
      </c>
      <c r="AF327" s="31">
        <f>ROUND(IF(AQ327="2",BH327,0),2)</f>
        <v>0</v>
      </c>
      <c r="AG327" s="31">
        <f>ROUND(IF(AQ327="2",BI327,0),2)</f>
        <v>0</v>
      </c>
      <c r="AH327" s="31">
        <f>ROUND(IF(AQ327="0",BJ327,0),2)</f>
        <v>0</v>
      </c>
      <c r="AI327" s="12" t="s">
        <v>53</v>
      </c>
      <c r="AJ327" s="31">
        <f>IF(AN327=0,L327,0)</f>
        <v>0</v>
      </c>
      <c r="AK327" s="31">
        <f>IF(AN327=12,L327,0)</f>
        <v>0</v>
      </c>
      <c r="AL327" s="31">
        <f>IF(AN327=21,L327,0)</f>
        <v>0</v>
      </c>
      <c r="AN327" s="31">
        <v>21</v>
      </c>
      <c r="AO327" s="31">
        <f>H327*0</f>
        <v>0</v>
      </c>
      <c r="AP327" s="31">
        <f>H327*(1-0)</f>
        <v>0</v>
      </c>
      <c r="AQ327" s="34" t="s">
        <v>68</v>
      </c>
      <c r="AV327" s="31">
        <f>ROUND(AW327+AX327,2)</f>
        <v>0</v>
      </c>
      <c r="AW327" s="31">
        <f>ROUND(G327*AO327,2)</f>
        <v>0</v>
      </c>
      <c r="AX327" s="31">
        <f>ROUND(G327*AP327,2)</f>
        <v>0</v>
      </c>
      <c r="AY327" s="34" t="s">
        <v>392</v>
      </c>
      <c r="AZ327" s="34" t="s">
        <v>295</v>
      </c>
      <c r="BA327" s="12" t="s">
        <v>63</v>
      </c>
      <c r="BC327" s="31">
        <f>AW327+AX327</f>
        <v>0</v>
      </c>
      <c r="BD327" s="31">
        <f>H327/(100-BE327)*100</f>
        <v>0</v>
      </c>
      <c r="BE327" s="31">
        <v>0</v>
      </c>
      <c r="BF327" s="31">
        <f>O327</f>
        <v>0</v>
      </c>
      <c r="BH327" s="31">
        <f>G327*AO327</f>
        <v>0</v>
      </c>
      <c r="BI327" s="31">
        <f>G327*AP327</f>
        <v>0</v>
      </c>
      <c r="BJ327" s="31">
        <f>G327*H327</f>
        <v>0</v>
      </c>
      <c r="BK327" s="34" t="s">
        <v>64</v>
      </c>
      <c r="BL327" s="31"/>
      <c r="BW327" s="31">
        <f>I327</f>
        <v>21</v>
      </c>
      <c r="BX327" s="4" t="s">
        <v>420</v>
      </c>
    </row>
    <row r="328" spans="1:76" x14ac:dyDescent="0.25">
      <c r="A328" s="35"/>
      <c r="D328" s="87" t="s">
        <v>421</v>
      </c>
      <c r="E328" s="36" t="s">
        <v>53</v>
      </c>
      <c r="G328" s="37">
        <v>50</v>
      </c>
      <c r="P328" s="38"/>
      <c r="BX328" t="s">
        <v>421</v>
      </c>
    </row>
    <row r="329" spans="1:76" x14ac:dyDescent="0.25">
      <c r="A329" s="35"/>
      <c r="D329" s="87" t="s">
        <v>422</v>
      </c>
      <c r="E329" s="36" t="s">
        <v>53</v>
      </c>
      <c r="G329" s="37">
        <v>325.8</v>
      </c>
      <c r="P329" s="38"/>
      <c r="BX329" t="s">
        <v>422</v>
      </c>
    </row>
    <row r="330" spans="1:76" x14ac:dyDescent="0.25">
      <c r="A330" s="2">
        <f>A327+1</f>
        <v>112</v>
      </c>
      <c r="B330" s="3" t="s">
        <v>53</v>
      </c>
      <c r="C330" s="3" t="s">
        <v>423</v>
      </c>
      <c r="D330" s="310" t="s">
        <v>424</v>
      </c>
      <c r="E330" s="307"/>
      <c r="F330" s="3" t="s">
        <v>71</v>
      </c>
      <c r="G330" s="31">
        <v>62</v>
      </c>
      <c r="H330" s="31">
        <v>0</v>
      </c>
      <c r="I330" s="32">
        <v>21</v>
      </c>
      <c r="J330" s="31">
        <f>ROUND(G330*AO330,2)</f>
        <v>0</v>
      </c>
      <c r="K330" s="31">
        <f>ROUND(G330*AP330,2)</f>
        <v>0</v>
      </c>
      <c r="L330" s="31">
        <f>ROUND(G330*H330,2)</f>
        <v>0</v>
      </c>
      <c r="M330" s="31">
        <f>L330*(1+BW330/100)</f>
        <v>0</v>
      </c>
      <c r="N330" s="31">
        <v>0</v>
      </c>
      <c r="O330" s="31">
        <f>G330*N330</f>
        <v>0</v>
      </c>
      <c r="P330" s="33" t="s">
        <v>60</v>
      </c>
      <c r="Z330" s="31">
        <f>ROUND(IF(AQ330="5",BJ330,0),2)</f>
        <v>0</v>
      </c>
      <c r="AB330" s="31">
        <f>ROUND(IF(AQ330="1",BH330,0),2)</f>
        <v>0</v>
      </c>
      <c r="AC330" s="31">
        <f>ROUND(IF(AQ330="1",BI330,0),2)</f>
        <v>0</v>
      </c>
      <c r="AD330" s="31">
        <f>ROUND(IF(AQ330="7",BH330,0),2)</f>
        <v>0</v>
      </c>
      <c r="AE330" s="31">
        <f>ROUND(IF(AQ330="7",BI330,0),2)</f>
        <v>0</v>
      </c>
      <c r="AF330" s="31">
        <f>ROUND(IF(AQ330="2",BH330,0),2)</f>
        <v>0</v>
      </c>
      <c r="AG330" s="31">
        <f>ROUND(IF(AQ330="2",BI330,0),2)</f>
        <v>0</v>
      </c>
      <c r="AH330" s="31">
        <f>ROUND(IF(AQ330="0",BJ330,0),2)</f>
        <v>0</v>
      </c>
      <c r="AI330" s="12" t="s">
        <v>53</v>
      </c>
      <c r="AJ330" s="31">
        <f>IF(AN330=0,L330,0)</f>
        <v>0</v>
      </c>
      <c r="AK330" s="31">
        <f>IF(AN330=12,L330,0)</f>
        <v>0</v>
      </c>
      <c r="AL330" s="31">
        <f>IF(AN330=21,L330,0)</f>
        <v>0</v>
      </c>
      <c r="AN330" s="31">
        <v>21</v>
      </c>
      <c r="AO330" s="31">
        <f>H330*0</f>
        <v>0</v>
      </c>
      <c r="AP330" s="31">
        <f>H330*(1-0)</f>
        <v>0</v>
      </c>
      <c r="AQ330" s="34" t="s">
        <v>68</v>
      </c>
      <c r="AV330" s="31">
        <f>ROUND(AW330+AX330,2)</f>
        <v>0</v>
      </c>
      <c r="AW330" s="31">
        <f>ROUND(G330*AO330,2)</f>
        <v>0</v>
      </c>
      <c r="AX330" s="31">
        <f>ROUND(G330*AP330,2)</f>
        <v>0</v>
      </c>
      <c r="AY330" s="34" t="s">
        <v>392</v>
      </c>
      <c r="AZ330" s="34" t="s">
        <v>295</v>
      </c>
      <c r="BA330" s="12" t="s">
        <v>63</v>
      </c>
      <c r="BC330" s="31">
        <f>AW330+AX330</f>
        <v>0</v>
      </c>
      <c r="BD330" s="31">
        <f>H330/(100-BE330)*100</f>
        <v>0</v>
      </c>
      <c r="BE330" s="31">
        <v>0</v>
      </c>
      <c r="BF330" s="31">
        <f>O330</f>
        <v>0</v>
      </c>
      <c r="BH330" s="31">
        <f>G330*AO330</f>
        <v>0</v>
      </c>
      <c r="BI330" s="31">
        <f>G330*AP330</f>
        <v>0</v>
      </c>
      <c r="BJ330" s="31">
        <f>G330*H330</f>
        <v>0</v>
      </c>
      <c r="BK330" s="34" t="s">
        <v>64</v>
      </c>
      <c r="BL330" s="31"/>
      <c r="BW330" s="31">
        <f>I330</f>
        <v>21</v>
      </c>
      <c r="BX330" s="4" t="s">
        <v>424</v>
      </c>
    </row>
    <row r="331" spans="1:76" x14ac:dyDescent="0.25">
      <c r="A331" s="35"/>
      <c r="D331" s="87" t="s">
        <v>405</v>
      </c>
      <c r="E331" s="36" t="s">
        <v>53</v>
      </c>
      <c r="G331" s="37">
        <v>62</v>
      </c>
      <c r="P331" s="38"/>
      <c r="BX331" t="s">
        <v>405</v>
      </c>
    </row>
    <row r="332" spans="1:76" x14ac:dyDescent="0.25">
      <c r="A332" s="2">
        <f>A330+1</f>
        <v>113</v>
      </c>
      <c r="B332" s="3" t="s">
        <v>53</v>
      </c>
      <c r="C332" s="3" t="s">
        <v>425</v>
      </c>
      <c r="D332" s="310" t="s">
        <v>426</v>
      </c>
      <c r="E332" s="307"/>
      <c r="F332" s="3" t="s">
        <v>134</v>
      </c>
      <c r="G332" s="31">
        <v>6</v>
      </c>
      <c r="H332" s="31">
        <v>0</v>
      </c>
      <c r="I332" s="32">
        <v>21</v>
      </c>
      <c r="J332" s="31">
        <f>ROUND(G332*AO332,2)</f>
        <v>0</v>
      </c>
      <c r="K332" s="31">
        <f>ROUND(G332*AP332,2)</f>
        <v>0</v>
      </c>
      <c r="L332" s="31">
        <f>ROUND(G332*H332,2)</f>
        <v>0</v>
      </c>
      <c r="M332" s="31">
        <f>L332*(1+BW332/100)</f>
        <v>0</v>
      </c>
      <c r="N332" s="31">
        <v>0</v>
      </c>
      <c r="O332" s="31">
        <f>G332*N332</f>
        <v>0</v>
      </c>
      <c r="P332" s="33" t="s">
        <v>60</v>
      </c>
      <c r="Z332" s="31">
        <f>ROUND(IF(AQ332="5",BJ332,0),2)</f>
        <v>0</v>
      </c>
      <c r="AB332" s="31">
        <f>ROUND(IF(AQ332="1",BH332,0),2)</f>
        <v>0</v>
      </c>
      <c r="AC332" s="31">
        <f>ROUND(IF(AQ332="1",BI332,0),2)</f>
        <v>0</v>
      </c>
      <c r="AD332" s="31">
        <f>ROUND(IF(AQ332="7",BH332,0),2)</f>
        <v>0</v>
      </c>
      <c r="AE332" s="31">
        <f>ROUND(IF(AQ332="7",BI332,0),2)</f>
        <v>0</v>
      </c>
      <c r="AF332" s="31">
        <f>ROUND(IF(AQ332="2",BH332,0),2)</f>
        <v>0</v>
      </c>
      <c r="AG332" s="31">
        <f>ROUND(IF(AQ332="2",BI332,0),2)</f>
        <v>0</v>
      </c>
      <c r="AH332" s="31">
        <f>ROUND(IF(AQ332="0",BJ332,0),2)</f>
        <v>0</v>
      </c>
      <c r="AI332" s="12" t="s">
        <v>53</v>
      </c>
      <c r="AJ332" s="31">
        <f>IF(AN332=0,L332,0)</f>
        <v>0</v>
      </c>
      <c r="AK332" s="31">
        <f>IF(AN332=12,L332,0)</f>
        <v>0</v>
      </c>
      <c r="AL332" s="31">
        <f>IF(AN332=21,L332,0)</f>
        <v>0</v>
      </c>
      <c r="AN332" s="31">
        <v>21</v>
      </c>
      <c r="AO332" s="31">
        <f>H332*0</f>
        <v>0</v>
      </c>
      <c r="AP332" s="31">
        <f>H332*(1-0)</f>
        <v>0</v>
      </c>
      <c r="AQ332" s="34" t="s">
        <v>68</v>
      </c>
      <c r="AV332" s="31">
        <f>ROUND(AW332+AX332,2)</f>
        <v>0</v>
      </c>
      <c r="AW332" s="31">
        <f>ROUND(G332*AO332,2)</f>
        <v>0</v>
      </c>
      <c r="AX332" s="31">
        <f>ROUND(G332*AP332,2)</f>
        <v>0</v>
      </c>
      <c r="AY332" s="34" t="s">
        <v>392</v>
      </c>
      <c r="AZ332" s="34" t="s">
        <v>295</v>
      </c>
      <c r="BA332" s="12" t="s">
        <v>63</v>
      </c>
      <c r="BC332" s="31">
        <f>AW332+AX332</f>
        <v>0</v>
      </c>
      <c r="BD332" s="31">
        <f>H332/(100-BE332)*100</f>
        <v>0</v>
      </c>
      <c r="BE332" s="31">
        <v>0</v>
      </c>
      <c r="BF332" s="31">
        <f>O332</f>
        <v>0</v>
      </c>
      <c r="BH332" s="31">
        <f>G332*AO332</f>
        <v>0</v>
      </c>
      <c r="BI332" s="31">
        <f>G332*AP332</f>
        <v>0</v>
      </c>
      <c r="BJ332" s="31">
        <f>G332*H332</f>
        <v>0</v>
      </c>
      <c r="BK332" s="34" t="s">
        <v>64</v>
      </c>
      <c r="BL332" s="31"/>
      <c r="BW332" s="31">
        <f>I332</f>
        <v>21</v>
      </c>
      <c r="BX332" s="4" t="s">
        <v>426</v>
      </c>
    </row>
    <row r="333" spans="1:76" x14ac:dyDescent="0.25">
      <c r="A333" s="35"/>
      <c r="D333" s="87" t="s">
        <v>427</v>
      </c>
      <c r="E333" s="36" t="s">
        <v>53</v>
      </c>
      <c r="G333" s="37">
        <v>6</v>
      </c>
      <c r="P333" s="38"/>
      <c r="BX333" t="s">
        <v>427</v>
      </c>
    </row>
    <row r="334" spans="1:76" x14ac:dyDescent="0.25">
      <c r="A334" s="2">
        <f>A332+1</f>
        <v>114</v>
      </c>
      <c r="B334" s="3" t="s">
        <v>53</v>
      </c>
      <c r="C334" s="3" t="s">
        <v>428</v>
      </c>
      <c r="D334" s="310" t="s">
        <v>429</v>
      </c>
      <c r="E334" s="307"/>
      <c r="F334" s="3" t="s">
        <v>134</v>
      </c>
      <c r="G334" s="31">
        <v>4</v>
      </c>
      <c r="H334" s="31">
        <v>0</v>
      </c>
      <c r="I334" s="32">
        <v>21</v>
      </c>
      <c r="J334" s="31">
        <f>ROUND(G334*AO334,2)</f>
        <v>0</v>
      </c>
      <c r="K334" s="31">
        <f>ROUND(G334*AP334,2)</f>
        <v>0</v>
      </c>
      <c r="L334" s="31">
        <f>ROUND(G334*H334,2)</f>
        <v>0</v>
      </c>
      <c r="M334" s="31">
        <f>L334*(1+BW334/100)</f>
        <v>0</v>
      </c>
      <c r="N334" s="31">
        <v>0</v>
      </c>
      <c r="O334" s="31">
        <f>G334*N334</f>
        <v>0</v>
      </c>
      <c r="P334" s="33" t="s">
        <v>60</v>
      </c>
      <c r="Z334" s="31">
        <f>ROUND(IF(AQ334="5",BJ334,0),2)</f>
        <v>0</v>
      </c>
      <c r="AB334" s="31">
        <f>ROUND(IF(AQ334="1",BH334,0),2)</f>
        <v>0</v>
      </c>
      <c r="AC334" s="31">
        <f>ROUND(IF(AQ334="1",BI334,0),2)</f>
        <v>0</v>
      </c>
      <c r="AD334" s="31">
        <f>ROUND(IF(AQ334="7",BH334,0),2)</f>
        <v>0</v>
      </c>
      <c r="AE334" s="31">
        <f>ROUND(IF(AQ334="7",BI334,0),2)</f>
        <v>0</v>
      </c>
      <c r="AF334" s="31">
        <f>ROUND(IF(AQ334="2",BH334,0),2)</f>
        <v>0</v>
      </c>
      <c r="AG334" s="31">
        <f>ROUND(IF(AQ334="2",BI334,0),2)</f>
        <v>0</v>
      </c>
      <c r="AH334" s="31">
        <f>ROUND(IF(AQ334="0",BJ334,0),2)</f>
        <v>0</v>
      </c>
      <c r="AI334" s="12" t="s">
        <v>53</v>
      </c>
      <c r="AJ334" s="31">
        <f>IF(AN334=0,L334,0)</f>
        <v>0</v>
      </c>
      <c r="AK334" s="31">
        <f>IF(AN334=12,L334,0)</f>
        <v>0</v>
      </c>
      <c r="AL334" s="31">
        <f>IF(AN334=21,L334,0)</f>
        <v>0</v>
      </c>
      <c r="AN334" s="31">
        <v>21</v>
      </c>
      <c r="AO334" s="31">
        <f>H334*0</f>
        <v>0</v>
      </c>
      <c r="AP334" s="31">
        <f>H334*(1-0)</f>
        <v>0</v>
      </c>
      <c r="AQ334" s="34" t="s">
        <v>68</v>
      </c>
      <c r="AV334" s="31">
        <f>ROUND(AW334+AX334,2)</f>
        <v>0</v>
      </c>
      <c r="AW334" s="31">
        <f>ROUND(G334*AO334,2)</f>
        <v>0</v>
      </c>
      <c r="AX334" s="31">
        <f>ROUND(G334*AP334,2)</f>
        <v>0</v>
      </c>
      <c r="AY334" s="34" t="s">
        <v>392</v>
      </c>
      <c r="AZ334" s="34" t="s">
        <v>295</v>
      </c>
      <c r="BA334" s="12" t="s">
        <v>63</v>
      </c>
      <c r="BC334" s="31">
        <f>AW334+AX334</f>
        <v>0</v>
      </c>
      <c r="BD334" s="31">
        <f>H334/(100-BE334)*100</f>
        <v>0</v>
      </c>
      <c r="BE334" s="31">
        <v>0</v>
      </c>
      <c r="BF334" s="31">
        <f>O334</f>
        <v>0</v>
      </c>
      <c r="BH334" s="31">
        <f>G334*AO334</f>
        <v>0</v>
      </c>
      <c r="BI334" s="31">
        <f>G334*AP334</f>
        <v>0</v>
      </c>
      <c r="BJ334" s="31">
        <f>G334*H334</f>
        <v>0</v>
      </c>
      <c r="BK334" s="34" t="s">
        <v>64</v>
      </c>
      <c r="BL334" s="31"/>
      <c r="BW334" s="31">
        <f>I334</f>
        <v>21</v>
      </c>
      <c r="BX334" s="4" t="s">
        <v>429</v>
      </c>
    </row>
    <row r="335" spans="1:76" x14ac:dyDescent="0.25">
      <c r="A335" s="35"/>
      <c r="D335" s="87" t="s">
        <v>430</v>
      </c>
      <c r="E335" s="36" t="s">
        <v>53</v>
      </c>
      <c r="G335" s="37">
        <v>4</v>
      </c>
      <c r="P335" s="38"/>
      <c r="BX335" t="s">
        <v>430</v>
      </c>
    </row>
    <row r="336" spans="1:76" x14ac:dyDescent="0.25">
      <c r="A336" s="2">
        <f>A334+1</f>
        <v>115</v>
      </c>
      <c r="B336" s="3" t="s">
        <v>53</v>
      </c>
      <c r="C336" s="3" t="s">
        <v>431</v>
      </c>
      <c r="D336" s="310" t="s">
        <v>432</v>
      </c>
      <c r="E336" s="307"/>
      <c r="F336" s="3" t="s">
        <v>134</v>
      </c>
      <c r="G336" s="31">
        <v>1</v>
      </c>
      <c r="H336" s="31">
        <v>0</v>
      </c>
      <c r="I336" s="32">
        <v>21</v>
      </c>
      <c r="J336" s="31">
        <f>ROUND(G336*AO336,2)</f>
        <v>0</v>
      </c>
      <c r="K336" s="31">
        <f>ROUND(G336*AP336,2)</f>
        <v>0</v>
      </c>
      <c r="L336" s="31">
        <f>ROUND(G336*H336,2)</f>
        <v>0</v>
      </c>
      <c r="M336" s="31">
        <f>L336*(1+BW336/100)</f>
        <v>0</v>
      </c>
      <c r="N336" s="31">
        <v>0</v>
      </c>
      <c r="O336" s="31">
        <f>G336*N336</f>
        <v>0</v>
      </c>
      <c r="P336" s="33" t="s">
        <v>60</v>
      </c>
      <c r="Z336" s="31">
        <f>ROUND(IF(AQ336="5",BJ336,0),2)</f>
        <v>0</v>
      </c>
      <c r="AB336" s="31">
        <f>ROUND(IF(AQ336="1",BH336,0),2)</f>
        <v>0</v>
      </c>
      <c r="AC336" s="31">
        <f>ROUND(IF(AQ336="1",BI336,0),2)</f>
        <v>0</v>
      </c>
      <c r="AD336" s="31">
        <f>ROUND(IF(AQ336="7",BH336,0),2)</f>
        <v>0</v>
      </c>
      <c r="AE336" s="31">
        <f>ROUND(IF(AQ336="7",BI336,0),2)</f>
        <v>0</v>
      </c>
      <c r="AF336" s="31">
        <f>ROUND(IF(AQ336="2",BH336,0),2)</f>
        <v>0</v>
      </c>
      <c r="AG336" s="31">
        <f>ROUND(IF(AQ336="2",BI336,0),2)</f>
        <v>0</v>
      </c>
      <c r="AH336" s="31">
        <f>ROUND(IF(AQ336="0",BJ336,0),2)</f>
        <v>0</v>
      </c>
      <c r="AI336" s="12" t="s">
        <v>53</v>
      </c>
      <c r="AJ336" s="31">
        <f>IF(AN336=0,L336,0)</f>
        <v>0</v>
      </c>
      <c r="AK336" s="31">
        <f>IF(AN336=12,L336,0)</f>
        <v>0</v>
      </c>
      <c r="AL336" s="31">
        <f>IF(AN336=21,L336,0)</f>
        <v>0</v>
      </c>
      <c r="AN336" s="31">
        <v>21</v>
      </c>
      <c r="AO336" s="31">
        <f>H336*0</f>
        <v>0</v>
      </c>
      <c r="AP336" s="31">
        <f>H336*(1-0)</f>
        <v>0</v>
      </c>
      <c r="AQ336" s="34" t="s">
        <v>68</v>
      </c>
      <c r="AV336" s="31">
        <f>ROUND(AW336+AX336,2)</f>
        <v>0</v>
      </c>
      <c r="AW336" s="31">
        <f>ROUND(G336*AO336,2)</f>
        <v>0</v>
      </c>
      <c r="AX336" s="31">
        <f>ROUND(G336*AP336,2)</f>
        <v>0</v>
      </c>
      <c r="AY336" s="34" t="s">
        <v>392</v>
      </c>
      <c r="AZ336" s="34" t="s">
        <v>295</v>
      </c>
      <c r="BA336" s="12" t="s">
        <v>63</v>
      </c>
      <c r="BC336" s="31">
        <f>AW336+AX336</f>
        <v>0</v>
      </c>
      <c r="BD336" s="31">
        <f>H336/(100-BE336)*100</f>
        <v>0</v>
      </c>
      <c r="BE336" s="31">
        <v>0</v>
      </c>
      <c r="BF336" s="31">
        <f>O336</f>
        <v>0</v>
      </c>
      <c r="BH336" s="31">
        <f>G336*AO336</f>
        <v>0</v>
      </c>
      <c r="BI336" s="31">
        <f>G336*AP336</f>
        <v>0</v>
      </c>
      <c r="BJ336" s="31">
        <f>G336*H336</f>
        <v>0</v>
      </c>
      <c r="BK336" s="34" t="s">
        <v>64</v>
      </c>
      <c r="BL336" s="31"/>
      <c r="BW336" s="31">
        <f>I336</f>
        <v>21</v>
      </c>
      <c r="BX336" s="4" t="s">
        <v>432</v>
      </c>
    </row>
    <row r="337" spans="1:76" x14ac:dyDescent="0.25">
      <c r="A337" s="35"/>
      <c r="D337" s="87" t="s">
        <v>433</v>
      </c>
      <c r="E337" s="36" t="s">
        <v>53</v>
      </c>
      <c r="G337" s="37">
        <v>1</v>
      </c>
      <c r="P337" s="38"/>
      <c r="BX337" t="s">
        <v>433</v>
      </c>
    </row>
    <row r="338" spans="1:76" x14ac:dyDescent="0.25">
      <c r="A338" s="2">
        <f>A336+1</f>
        <v>116</v>
      </c>
      <c r="B338" s="3" t="s">
        <v>53</v>
      </c>
      <c r="C338" s="3" t="s">
        <v>434</v>
      </c>
      <c r="D338" s="310" t="s">
        <v>435</v>
      </c>
      <c r="E338" s="307"/>
      <c r="F338" s="3" t="s">
        <v>436</v>
      </c>
      <c r="G338" s="287">
        <v>2</v>
      </c>
      <c r="H338" s="31">
        <v>0</v>
      </c>
      <c r="I338" s="32">
        <v>21</v>
      </c>
      <c r="J338" s="31">
        <f>ROUND(G338*AO338,2)</f>
        <v>0</v>
      </c>
      <c r="K338" s="31">
        <f>ROUND(G338*AP338,2)</f>
        <v>0</v>
      </c>
      <c r="L338" s="31">
        <f>ROUND(G338*H338,2)</f>
        <v>0</v>
      </c>
      <c r="M338" s="31">
        <f>L338*(1+BW338/100)</f>
        <v>0</v>
      </c>
      <c r="N338" s="31">
        <v>0</v>
      </c>
      <c r="O338" s="31">
        <f>G338*N338</f>
        <v>0</v>
      </c>
      <c r="P338" s="33" t="s">
        <v>60</v>
      </c>
      <c r="Z338" s="31">
        <f>ROUND(IF(AQ338="5",BJ338,0),2)</f>
        <v>0</v>
      </c>
      <c r="AB338" s="31">
        <f>ROUND(IF(AQ338="1",BH338,0),2)</f>
        <v>0</v>
      </c>
      <c r="AC338" s="31">
        <f>ROUND(IF(AQ338="1",BI338,0),2)</f>
        <v>0</v>
      </c>
      <c r="AD338" s="31">
        <f>ROUND(IF(AQ338="7",BH338,0),2)</f>
        <v>0</v>
      </c>
      <c r="AE338" s="31">
        <f>ROUND(IF(AQ338="7",BI338,0),2)</f>
        <v>0</v>
      </c>
      <c r="AF338" s="31">
        <f>ROUND(IF(AQ338="2",BH338,0),2)</f>
        <v>0</v>
      </c>
      <c r="AG338" s="31">
        <f>ROUND(IF(AQ338="2",BI338,0),2)</f>
        <v>0</v>
      </c>
      <c r="AH338" s="31">
        <f>ROUND(IF(AQ338="0",BJ338,0),2)</f>
        <v>0</v>
      </c>
      <c r="AI338" s="12" t="s">
        <v>53</v>
      </c>
      <c r="AJ338" s="31">
        <f>IF(AN338=0,L338,0)</f>
        <v>0</v>
      </c>
      <c r="AK338" s="31">
        <f>IF(AN338=12,L338,0)</f>
        <v>0</v>
      </c>
      <c r="AL338" s="31">
        <f>IF(AN338=21,L338,0)</f>
        <v>0</v>
      </c>
      <c r="AN338" s="31">
        <v>21</v>
      </c>
      <c r="AO338" s="31">
        <f>H338*0</f>
        <v>0</v>
      </c>
      <c r="AP338" s="31">
        <f>H338*(1-0)</f>
        <v>0</v>
      </c>
      <c r="AQ338" s="34" t="s">
        <v>68</v>
      </c>
      <c r="AV338" s="31">
        <f>ROUND(AW338+AX338,2)</f>
        <v>0</v>
      </c>
      <c r="AW338" s="31">
        <f>ROUND(G338*AO338,2)</f>
        <v>0</v>
      </c>
      <c r="AX338" s="31">
        <f>ROUND(G338*AP338,2)</f>
        <v>0</v>
      </c>
      <c r="AY338" s="34" t="s">
        <v>392</v>
      </c>
      <c r="AZ338" s="34" t="s">
        <v>295</v>
      </c>
      <c r="BA338" s="12" t="s">
        <v>63</v>
      </c>
      <c r="BC338" s="31">
        <f>AW338+AX338</f>
        <v>0</v>
      </c>
      <c r="BD338" s="31">
        <f>H338/(100-BE338)*100</f>
        <v>0</v>
      </c>
      <c r="BE338" s="31">
        <v>0</v>
      </c>
      <c r="BF338" s="31">
        <f>O338</f>
        <v>0</v>
      </c>
      <c r="BH338" s="31">
        <f>G338*AO338</f>
        <v>0</v>
      </c>
      <c r="BI338" s="31">
        <f>G338*AP338</f>
        <v>0</v>
      </c>
      <c r="BJ338" s="31">
        <f>G338*H338</f>
        <v>0</v>
      </c>
      <c r="BK338" s="34" t="s">
        <v>64</v>
      </c>
      <c r="BL338" s="31"/>
      <c r="BW338" s="31">
        <f>I338</f>
        <v>21</v>
      </c>
      <c r="BX338" s="4" t="s">
        <v>435</v>
      </c>
    </row>
    <row r="339" spans="1:76" x14ac:dyDescent="0.25">
      <c r="A339" s="2">
        <f>A338+1</f>
        <v>117</v>
      </c>
      <c r="B339" s="3" t="s">
        <v>53</v>
      </c>
      <c r="C339" s="3" t="s">
        <v>437</v>
      </c>
      <c r="D339" s="310" t="s">
        <v>438</v>
      </c>
      <c r="E339" s="307"/>
      <c r="F339" s="3" t="s">
        <v>436</v>
      </c>
      <c r="G339" s="31">
        <v>3</v>
      </c>
      <c r="H339" s="31">
        <v>0</v>
      </c>
      <c r="I339" s="32">
        <v>21</v>
      </c>
      <c r="J339" s="31">
        <f>ROUND(G339*AO339,2)</f>
        <v>0</v>
      </c>
      <c r="K339" s="31">
        <f>ROUND(G339*AP339,2)</f>
        <v>0</v>
      </c>
      <c r="L339" s="31">
        <f>ROUND(G339*H339,2)</f>
        <v>0</v>
      </c>
      <c r="M339" s="31">
        <f>L339*(1+BW339/100)</f>
        <v>0</v>
      </c>
      <c r="N339" s="31">
        <v>0</v>
      </c>
      <c r="O339" s="31">
        <f>G339*N339</f>
        <v>0</v>
      </c>
      <c r="P339" s="33" t="s">
        <v>60</v>
      </c>
      <c r="Z339" s="31">
        <f>ROUND(IF(AQ339="5",BJ339,0),2)</f>
        <v>0</v>
      </c>
      <c r="AB339" s="31">
        <f>ROUND(IF(AQ339="1",BH339,0),2)</f>
        <v>0</v>
      </c>
      <c r="AC339" s="31">
        <f>ROUND(IF(AQ339="1",BI339,0),2)</f>
        <v>0</v>
      </c>
      <c r="AD339" s="31">
        <f>ROUND(IF(AQ339="7",BH339,0),2)</f>
        <v>0</v>
      </c>
      <c r="AE339" s="31">
        <f>ROUND(IF(AQ339="7",BI339,0),2)</f>
        <v>0</v>
      </c>
      <c r="AF339" s="31">
        <f>ROUND(IF(AQ339="2",BH339,0),2)</f>
        <v>0</v>
      </c>
      <c r="AG339" s="31">
        <f>ROUND(IF(AQ339="2",BI339,0),2)</f>
        <v>0</v>
      </c>
      <c r="AH339" s="31">
        <f>ROUND(IF(AQ339="0",BJ339,0),2)</f>
        <v>0</v>
      </c>
      <c r="AI339" s="12" t="s">
        <v>53</v>
      </c>
      <c r="AJ339" s="31">
        <f>IF(AN339=0,L339,0)</f>
        <v>0</v>
      </c>
      <c r="AK339" s="31">
        <f>IF(AN339=12,L339,0)</f>
        <v>0</v>
      </c>
      <c r="AL339" s="31">
        <f>IF(AN339=21,L339,0)</f>
        <v>0</v>
      </c>
      <c r="AN339" s="31">
        <v>21</v>
      </c>
      <c r="AO339" s="31">
        <f>H339*0</f>
        <v>0</v>
      </c>
      <c r="AP339" s="31">
        <f>H339*(1-0)</f>
        <v>0</v>
      </c>
      <c r="AQ339" s="34" t="s">
        <v>68</v>
      </c>
      <c r="AV339" s="31">
        <f>ROUND(AW339+AX339,2)</f>
        <v>0</v>
      </c>
      <c r="AW339" s="31">
        <f>ROUND(G339*AO339,2)</f>
        <v>0</v>
      </c>
      <c r="AX339" s="31">
        <f>ROUND(G339*AP339,2)</f>
        <v>0</v>
      </c>
      <c r="AY339" s="34" t="s">
        <v>392</v>
      </c>
      <c r="AZ339" s="34" t="s">
        <v>295</v>
      </c>
      <c r="BA339" s="12" t="s">
        <v>63</v>
      </c>
      <c r="BC339" s="31">
        <f>AW339+AX339</f>
        <v>0</v>
      </c>
      <c r="BD339" s="31">
        <f>H339/(100-BE339)*100</f>
        <v>0</v>
      </c>
      <c r="BE339" s="31">
        <v>0</v>
      </c>
      <c r="BF339" s="31">
        <f>O339</f>
        <v>0</v>
      </c>
      <c r="BH339" s="31">
        <f>G339*AO339</f>
        <v>0</v>
      </c>
      <c r="BI339" s="31">
        <f>G339*AP339</f>
        <v>0</v>
      </c>
      <c r="BJ339" s="31">
        <f>G339*H339</f>
        <v>0</v>
      </c>
      <c r="BK339" s="34" t="s">
        <v>64</v>
      </c>
      <c r="BL339" s="31"/>
      <c r="BW339" s="31">
        <f>I339</f>
        <v>21</v>
      </c>
      <c r="BX339" s="4" t="s">
        <v>438</v>
      </c>
    </row>
    <row r="340" spans="1:76" x14ac:dyDescent="0.25">
      <c r="A340" s="35"/>
      <c r="D340" s="201" t="s">
        <v>840</v>
      </c>
      <c r="E340" s="286" t="s">
        <v>53</v>
      </c>
      <c r="F340" s="288"/>
      <c r="G340" s="289">
        <v>1</v>
      </c>
      <c r="P340" s="38"/>
      <c r="BX340" t="s">
        <v>840</v>
      </c>
    </row>
    <row r="341" spans="1:76" x14ac:dyDescent="0.25">
      <c r="A341" s="35"/>
      <c r="D341" s="201" t="s">
        <v>439</v>
      </c>
      <c r="E341" s="286" t="s">
        <v>53</v>
      </c>
      <c r="F341" s="288"/>
      <c r="G341" s="289">
        <v>2</v>
      </c>
      <c r="P341" s="38"/>
      <c r="BX341" t="s">
        <v>439</v>
      </c>
    </row>
    <row r="342" spans="1:76" x14ac:dyDescent="0.25">
      <c r="A342" s="2">
        <f>A339+1</f>
        <v>118</v>
      </c>
      <c r="B342" s="3" t="s">
        <v>53</v>
      </c>
      <c r="C342" s="3" t="s">
        <v>440</v>
      </c>
      <c r="D342" s="310" t="s">
        <v>441</v>
      </c>
      <c r="E342" s="307"/>
      <c r="F342" s="3" t="s">
        <v>436</v>
      </c>
      <c r="G342" s="31">
        <v>5</v>
      </c>
      <c r="H342" s="31">
        <v>0</v>
      </c>
      <c r="I342" s="32">
        <v>21</v>
      </c>
      <c r="J342" s="31">
        <f>ROUND(G342*AO342,2)</f>
        <v>0</v>
      </c>
      <c r="K342" s="31">
        <f>ROUND(G342*AP342,2)</f>
        <v>0</v>
      </c>
      <c r="L342" s="31">
        <f>ROUND(G342*H342,2)</f>
        <v>0</v>
      </c>
      <c r="M342" s="31">
        <f>L342*(1+BW342/100)</f>
        <v>0</v>
      </c>
      <c r="N342" s="31">
        <v>0</v>
      </c>
      <c r="O342" s="31">
        <f>G342*N342</f>
        <v>0</v>
      </c>
      <c r="P342" s="33" t="s">
        <v>60</v>
      </c>
      <c r="Z342" s="31">
        <f>ROUND(IF(AQ342="5",BJ342,0),2)</f>
        <v>0</v>
      </c>
      <c r="AB342" s="31">
        <f>ROUND(IF(AQ342="1",BH342,0),2)</f>
        <v>0</v>
      </c>
      <c r="AC342" s="31">
        <f>ROUND(IF(AQ342="1",BI342,0),2)</f>
        <v>0</v>
      </c>
      <c r="AD342" s="31">
        <f>ROUND(IF(AQ342="7",BH342,0),2)</f>
        <v>0</v>
      </c>
      <c r="AE342" s="31">
        <f>ROUND(IF(AQ342="7",BI342,0),2)</f>
        <v>0</v>
      </c>
      <c r="AF342" s="31">
        <f>ROUND(IF(AQ342="2",BH342,0),2)</f>
        <v>0</v>
      </c>
      <c r="AG342" s="31">
        <f>ROUND(IF(AQ342="2",BI342,0),2)</f>
        <v>0</v>
      </c>
      <c r="AH342" s="31">
        <f>ROUND(IF(AQ342="0",BJ342,0),2)</f>
        <v>0</v>
      </c>
      <c r="AI342" s="12" t="s">
        <v>53</v>
      </c>
      <c r="AJ342" s="31">
        <f>IF(AN342=0,L342,0)</f>
        <v>0</v>
      </c>
      <c r="AK342" s="31">
        <f>IF(AN342=12,L342,0)</f>
        <v>0</v>
      </c>
      <c r="AL342" s="31">
        <f>IF(AN342=21,L342,0)</f>
        <v>0</v>
      </c>
      <c r="AN342" s="31">
        <v>21</v>
      </c>
      <c r="AO342" s="31">
        <f>H342*0</f>
        <v>0</v>
      </c>
      <c r="AP342" s="31">
        <f>H342*(1-0)</f>
        <v>0</v>
      </c>
      <c r="AQ342" s="34" t="s">
        <v>68</v>
      </c>
      <c r="AV342" s="31">
        <f>ROUND(AW342+AX342,2)</f>
        <v>0</v>
      </c>
      <c r="AW342" s="31">
        <f>ROUND(G342*AO342,2)</f>
        <v>0</v>
      </c>
      <c r="AX342" s="31">
        <f>ROUND(G342*AP342,2)</f>
        <v>0</v>
      </c>
      <c r="AY342" s="34" t="s">
        <v>392</v>
      </c>
      <c r="AZ342" s="34" t="s">
        <v>295</v>
      </c>
      <c r="BA342" s="12" t="s">
        <v>63</v>
      </c>
      <c r="BC342" s="31">
        <f>AW342+AX342</f>
        <v>0</v>
      </c>
      <c r="BD342" s="31">
        <f>H342/(100-BE342)*100</f>
        <v>0</v>
      </c>
      <c r="BE342" s="31">
        <v>0</v>
      </c>
      <c r="BF342" s="31">
        <f>O342</f>
        <v>0</v>
      </c>
      <c r="BH342" s="31">
        <f>G342*AO342</f>
        <v>0</v>
      </c>
      <c r="BI342" s="31">
        <f>G342*AP342</f>
        <v>0</v>
      </c>
      <c r="BJ342" s="31">
        <f>G342*H342</f>
        <v>0</v>
      </c>
      <c r="BK342" s="34" t="s">
        <v>64</v>
      </c>
      <c r="BL342" s="31"/>
      <c r="BW342" s="31">
        <f>I342</f>
        <v>21</v>
      </c>
      <c r="BX342" s="4" t="s">
        <v>441</v>
      </c>
    </row>
    <row r="343" spans="1:76" x14ac:dyDescent="0.25">
      <c r="A343" s="2">
        <f>A342+1</f>
        <v>119</v>
      </c>
      <c r="B343" s="3" t="s">
        <v>53</v>
      </c>
      <c r="C343" s="3" t="s">
        <v>442</v>
      </c>
      <c r="D343" s="310" t="s">
        <v>443</v>
      </c>
      <c r="E343" s="307"/>
      <c r="F343" s="3" t="s">
        <v>134</v>
      </c>
      <c r="G343" s="31">
        <v>18</v>
      </c>
      <c r="H343" s="31">
        <v>0</v>
      </c>
      <c r="I343" s="32">
        <v>21</v>
      </c>
      <c r="J343" s="31">
        <f>ROUND(G343*AO343,2)</f>
        <v>0</v>
      </c>
      <c r="K343" s="31">
        <f>ROUND(G343*AP343,2)</f>
        <v>0</v>
      </c>
      <c r="L343" s="31">
        <f>ROUND(G343*H343,2)</f>
        <v>0</v>
      </c>
      <c r="M343" s="31">
        <f>L343*(1+BW343/100)</f>
        <v>0</v>
      </c>
      <c r="N343" s="31">
        <v>0</v>
      </c>
      <c r="O343" s="31">
        <f>G343*N343</f>
        <v>0</v>
      </c>
      <c r="P343" s="33" t="s">
        <v>60</v>
      </c>
      <c r="Z343" s="31">
        <f>ROUND(IF(AQ343="5",BJ343,0),2)</f>
        <v>0</v>
      </c>
      <c r="AB343" s="31">
        <f>ROUND(IF(AQ343="1",BH343,0),2)</f>
        <v>0</v>
      </c>
      <c r="AC343" s="31">
        <f>ROUND(IF(AQ343="1",BI343,0),2)</f>
        <v>0</v>
      </c>
      <c r="AD343" s="31">
        <f>ROUND(IF(AQ343="7",BH343,0),2)</f>
        <v>0</v>
      </c>
      <c r="AE343" s="31">
        <f>ROUND(IF(AQ343="7",BI343,0),2)</f>
        <v>0</v>
      </c>
      <c r="AF343" s="31">
        <f>ROUND(IF(AQ343="2",BH343,0),2)</f>
        <v>0</v>
      </c>
      <c r="AG343" s="31">
        <f>ROUND(IF(AQ343="2",BI343,0),2)</f>
        <v>0</v>
      </c>
      <c r="AH343" s="31">
        <f>ROUND(IF(AQ343="0",BJ343,0),2)</f>
        <v>0</v>
      </c>
      <c r="AI343" s="12" t="s">
        <v>53</v>
      </c>
      <c r="AJ343" s="31">
        <f>IF(AN343=0,L343,0)</f>
        <v>0</v>
      </c>
      <c r="AK343" s="31">
        <f>IF(AN343=12,L343,0)</f>
        <v>0</v>
      </c>
      <c r="AL343" s="31">
        <f>IF(AN343=21,L343,0)</f>
        <v>0</v>
      </c>
      <c r="AN343" s="31">
        <v>21</v>
      </c>
      <c r="AO343" s="31">
        <f>H343*0</f>
        <v>0</v>
      </c>
      <c r="AP343" s="31">
        <f>H343*(1-0)</f>
        <v>0</v>
      </c>
      <c r="AQ343" s="34" t="s">
        <v>68</v>
      </c>
      <c r="AV343" s="31">
        <f>ROUND(AW343+AX343,2)</f>
        <v>0</v>
      </c>
      <c r="AW343" s="31">
        <f>ROUND(G343*AO343,2)</f>
        <v>0</v>
      </c>
      <c r="AX343" s="31">
        <f>ROUND(G343*AP343,2)</f>
        <v>0</v>
      </c>
      <c r="AY343" s="34" t="s">
        <v>392</v>
      </c>
      <c r="AZ343" s="34" t="s">
        <v>295</v>
      </c>
      <c r="BA343" s="12" t="s">
        <v>63</v>
      </c>
      <c r="BC343" s="31">
        <f>AW343+AX343</f>
        <v>0</v>
      </c>
      <c r="BD343" s="31">
        <f>H343/(100-BE343)*100</f>
        <v>0</v>
      </c>
      <c r="BE343" s="31">
        <v>0</v>
      </c>
      <c r="BF343" s="31">
        <f>O343</f>
        <v>0</v>
      </c>
      <c r="BH343" s="31">
        <f>G343*AO343</f>
        <v>0</v>
      </c>
      <c r="BI343" s="31">
        <f>G343*AP343</f>
        <v>0</v>
      </c>
      <c r="BJ343" s="31">
        <f>G343*H343</f>
        <v>0</v>
      </c>
      <c r="BK343" s="34" t="s">
        <v>64</v>
      </c>
      <c r="BL343" s="31"/>
      <c r="BW343" s="31">
        <f>I343</f>
        <v>21</v>
      </c>
      <c r="BX343" s="4" t="s">
        <v>443</v>
      </c>
    </row>
    <row r="344" spans="1:76" x14ac:dyDescent="0.25">
      <c r="A344" s="43"/>
      <c r="B344" s="44"/>
      <c r="C344" s="44"/>
      <c r="D344" s="87" t="s">
        <v>444</v>
      </c>
      <c r="E344" s="36" t="s">
        <v>53</v>
      </c>
      <c r="F344" s="44"/>
      <c r="G344" s="37">
        <v>4</v>
      </c>
      <c r="H344" s="44"/>
      <c r="I344" s="44"/>
      <c r="J344" s="44"/>
      <c r="K344" s="44"/>
      <c r="L344" s="44"/>
      <c r="M344" s="44"/>
      <c r="N344" s="44"/>
      <c r="O344" s="44"/>
      <c r="P344" s="45"/>
      <c r="BX344" t="s">
        <v>444</v>
      </c>
    </row>
    <row r="345" spans="1:76" x14ac:dyDescent="0.25">
      <c r="A345" s="43"/>
      <c r="B345" s="44"/>
      <c r="C345" s="44"/>
      <c r="D345" s="87" t="s">
        <v>445</v>
      </c>
      <c r="E345" s="36" t="s">
        <v>53</v>
      </c>
      <c r="F345" s="44"/>
      <c r="G345" s="37">
        <v>10</v>
      </c>
      <c r="H345" s="44"/>
      <c r="I345" s="44"/>
      <c r="J345" s="44"/>
      <c r="K345" s="44"/>
      <c r="L345" s="44"/>
      <c r="M345" s="44"/>
      <c r="N345" s="44"/>
      <c r="O345" s="44"/>
      <c r="P345" s="45"/>
      <c r="BX345" t="s">
        <v>445</v>
      </c>
    </row>
    <row r="346" spans="1:76" x14ac:dyDescent="0.25">
      <c r="A346" s="43"/>
      <c r="B346" s="44"/>
      <c r="C346" s="44"/>
      <c r="D346" s="87" t="s">
        <v>446</v>
      </c>
      <c r="E346" s="36" t="s">
        <v>53</v>
      </c>
      <c r="F346" s="44"/>
      <c r="G346" s="37">
        <v>1</v>
      </c>
      <c r="H346" s="44"/>
      <c r="I346" s="44"/>
      <c r="J346" s="44"/>
      <c r="K346" s="44"/>
      <c r="L346" s="44"/>
      <c r="M346" s="44"/>
      <c r="N346" s="44"/>
      <c r="O346" s="44"/>
      <c r="P346" s="45"/>
      <c r="BX346" t="s">
        <v>446</v>
      </c>
    </row>
    <row r="347" spans="1:76" x14ac:dyDescent="0.25">
      <c r="A347" s="43"/>
      <c r="B347" s="44"/>
      <c r="C347" s="44"/>
      <c r="D347" s="87" t="s">
        <v>447</v>
      </c>
      <c r="E347" s="36" t="s">
        <v>53</v>
      </c>
      <c r="F347" s="44"/>
      <c r="G347" s="37">
        <v>2</v>
      </c>
      <c r="H347" s="44"/>
      <c r="I347" s="44"/>
      <c r="J347" s="44"/>
      <c r="K347" s="44"/>
      <c r="L347" s="44"/>
      <c r="M347" s="44"/>
      <c r="N347" s="44"/>
      <c r="O347" s="44"/>
      <c r="P347" s="45"/>
      <c r="BX347" t="s">
        <v>447</v>
      </c>
    </row>
    <row r="348" spans="1:76" x14ac:dyDescent="0.25">
      <c r="A348" s="43"/>
      <c r="B348" s="44"/>
      <c r="C348" s="44"/>
      <c r="D348" s="87" t="s">
        <v>448</v>
      </c>
      <c r="E348" s="36" t="s">
        <v>53</v>
      </c>
      <c r="F348" s="44"/>
      <c r="G348" s="37">
        <v>1</v>
      </c>
      <c r="H348" s="44"/>
      <c r="I348" s="44"/>
      <c r="J348" s="44"/>
      <c r="K348" s="44"/>
      <c r="L348" s="44"/>
      <c r="M348" s="44"/>
      <c r="N348" s="44"/>
      <c r="O348" s="44"/>
      <c r="P348" s="45"/>
      <c r="BX348" t="s">
        <v>448</v>
      </c>
    </row>
    <row r="349" spans="1:76" x14ac:dyDescent="0.25">
      <c r="A349" s="2">
        <f>A343+1</f>
        <v>120</v>
      </c>
      <c r="B349" s="3" t="s">
        <v>53</v>
      </c>
      <c r="C349" s="3" t="s">
        <v>449</v>
      </c>
      <c r="D349" s="310" t="s">
        <v>450</v>
      </c>
      <c r="E349" s="307"/>
      <c r="F349" s="3" t="s">
        <v>134</v>
      </c>
      <c r="G349" s="31">
        <v>4</v>
      </c>
      <c r="H349" s="31">
        <v>0</v>
      </c>
      <c r="I349" s="32">
        <v>21</v>
      </c>
      <c r="J349" s="31">
        <f>ROUND(G349*AO349,2)</f>
        <v>0</v>
      </c>
      <c r="K349" s="31">
        <f>ROUND(G349*AP349,2)</f>
        <v>0</v>
      </c>
      <c r="L349" s="31">
        <f>ROUND(G349*H349,2)</f>
        <v>0</v>
      </c>
      <c r="M349" s="31">
        <f>L349*(1+BW349/100)</f>
        <v>0</v>
      </c>
      <c r="N349" s="31">
        <v>8.2400000000000008E-3</v>
      </c>
      <c r="O349" s="31">
        <f>G349*N349</f>
        <v>3.2960000000000003E-2</v>
      </c>
      <c r="P349" s="33" t="s">
        <v>53</v>
      </c>
      <c r="Z349" s="31">
        <f>ROUND(IF(AQ349="5",BJ349,0),2)</f>
        <v>0</v>
      </c>
      <c r="AB349" s="31">
        <f>ROUND(IF(AQ349="1",BH349,0),2)</f>
        <v>0</v>
      </c>
      <c r="AC349" s="31">
        <f>ROUND(IF(AQ349="1",BI349,0),2)</f>
        <v>0</v>
      </c>
      <c r="AD349" s="31">
        <f>ROUND(IF(AQ349="7",BH349,0),2)</f>
        <v>0</v>
      </c>
      <c r="AE349" s="31">
        <f>ROUND(IF(AQ349="7",BI349,0),2)</f>
        <v>0</v>
      </c>
      <c r="AF349" s="31">
        <f>ROUND(IF(AQ349="2",BH349,0),2)</f>
        <v>0</v>
      </c>
      <c r="AG349" s="31">
        <f>ROUND(IF(AQ349="2",BI349,0),2)</f>
        <v>0</v>
      </c>
      <c r="AH349" s="31">
        <f>ROUND(IF(AQ349="0",BJ349,0),2)</f>
        <v>0</v>
      </c>
      <c r="AI349" s="12" t="s">
        <v>53</v>
      </c>
      <c r="AJ349" s="31">
        <f>IF(AN349=0,L349,0)</f>
        <v>0</v>
      </c>
      <c r="AK349" s="31">
        <f>IF(AN349=12,L349,0)</f>
        <v>0</v>
      </c>
      <c r="AL349" s="31">
        <f>IF(AN349=21,L349,0)</f>
        <v>0</v>
      </c>
      <c r="AN349" s="31">
        <v>21</v>
      </c>
      <c r="AO349" s="31">
        <f>H349*1</f>
        <v>0</v>
      </c>
      <c r="AP349" s="31">
        <f>H349*(1-1)</f>
        <v>0</v>
      </c>
      <c r="AQ349" s="34" t="s">
        <v>56</v>
      </c>
      <c r="AV349" s="31">
        <f>ROUND(AW349+AX349,2)</f>
        <v>0</v>
      </c>
      <c r="AW349" s="31">
        <f>ROUND(G349*AO349,2)</f>
        <v>0</v>
      </c>
      <c r="AX349" s="31">
        <f>ROUND(G349*AP349,2)</f>
        <v>0</v>
      </c>
      <c r="AY349" s="34" t="s">
        <v>392</v>
      </c>
      <c r="AZ349" s="34" t="s">
        <v>295</v>
      </c>
      <c r="BA349" s="12" t="s">
        <v>63</v>
      </c>
      <c r="BC349" s="31">
        <f>AW349+AX349</f>
        <v>0</v>
      </c>
      <c r="BD349" s="31">
        <f>H349/(100-BE349)*100</f>
        <v>0</v>
      </c>
      <c r="BE349" s="31">
        <v>0</v>
      </c>
      <c r="BF349" s="31">
        <f>O349</f>
        <v>3.2960000000000003E-2</v>
      </c>
      <c r="BH349" s="31">
        <f>G349*AO349</f>
        <v>0</v>
      </c>
      <c r="BI349" s="31">
        <f>G349*AP349</f>
        <v>0</v>
      </c>
      <c r="BJ349" s="31">
        <f>G349*H349</f>
        <v>0</v>
      </c>
      <c r="BK349" s="34" t="s">
        <v>203</v>
      </c>
      <c r="BL349" s="31"/>
      <c r="BW349" s="31">
        <f>I349</f>
        <v>21</v>
      </c>
      <c r="BX349" s="4" t="s">
        <v>450</v>
      </c>
    </row>
    <row r="350" spans="1:76" x14ac:dyDescent="0.25">
      <c r="A350" s="35"/>
      <c r="D350" s="87" t="s">
        <v>451</v>
      </c>
      <c r="E350" s="36" t="s">
        <v>53</v>
      </c>
      <c r="G350" s="37">
        <v>4</v>
      </c>
      <c r="P350" s="38"/>
      <c r="BX350" t="s">
        <v>451</v>
      </c>
    </row>
    <row r="351" spans="1:76" ht="140.25" x14ac:dyDescent="0.25">
      <c r="A351" s="2">
        <f>A349+1</f>
        <v>121</v>
      </c>
      <c r="B351" s="3" t="s">
        <v>53</v>
      </c>
      <c r="C351" s="3" t="s">
        <v>452</v>
      </c>
      <c r="D351" s="390" t="s">
        <v>1191</v>
      </c>
      <c r="E351" s="307"/>
      <c r="F351" s="3" t="s">
        <v>134</v>
      </c>
      <c r="G351" s="31">
        <v>1</v>
      </c>
      <c r="H351" s="31">
        <v>0</v>
      </c>
      <c r="I351" s="32">
        <v>21</v>
      </c>
      <c r="J351" s="31">
        <f>ROUND(G351*AO351,2)</f>
        <v>0</v>
      </c>
      <c r="K351" s="31">
        <f>ROUND(G351*AP351,2)</f>
        <v>0</v>
      </c>
      <c r="L351" s="31">
        <f>ROUND(G351*H351,2)</f>
        <v>0</v>
      </c>
      <c r="M351" s="31">
        <f>L351*(1+BW351/100)</f>
        <v>0</v>
      </c>
      <c r="N351" s="31">
        <v>0.01</v>
      </c>
      <c r="O351" s="31">
        <f>G351*N351</f>
        <v>0.01</v>
      </c>
      <c r="P351" s="33" t="s">
        <v>53</v>
      </c>
      <c r="Z351" s="31">
        <f>ROUND(IF(AQ351="5",BJ351,0),2)</f>
        <v>0</v>
      </c>
      <c r="AB351" s="31">
        <f>ROUND(IF(AQ351="1",BH351,0),2)</f>
        <v>0</v>
      </c>
      <c r="AC351" s="31">
        <f>ROUND(IF(AQ351="1",BI351,0),2)</f>
        <v>0</v>
      </c>
      <c r="AD351" s="31">
        <f>ROUND(IF(AQ351="7",BH351,0),2)</f>
        <v>0</v>
      </c>
      <c r="AE351" s="31">
        <f>ROUND(IF(AQ351="7",BI351,0),2)</f>
        <v>0</v>
      </c>
      <c r="AF351" s="31">
        <f>ROUND(IF(AQ351="2",BH351,0),2)</f>
        <v>0</v>
      </c>
      <c r="AG351" s="31">
        <f>ROUND(IF(AQ351="2",BI351,0),2)</f>
        <v>0</v>
      </c>
      <c r="AH351" s="31">
        <f>ROUND(IF(AQ351="0",BJ351,0),2)</f>
        <v>0</v>
      </c>
      <c r="AI351" s="12" t="s">
        <v>53</v>
      </c>
      <c r="AJ351" s="31">
        <f>IF(AN351=0,L351,0)</f>
        <v>0</v>
      </c>
      <c r="AK351" s="31">
        <f>IF(AN351=12,L351,0)</f>
        <v>0</v>
      </c>
      <c r="AL351" s="31">
        <f>IF(AN351=21,L351,0)</f>
        <v>0</v>
      </c>
      <c r="AN351" s="31">
        <v>21</v>
      </c>
      <c r="AO351" s="31">
        <f>H351*1</f>
        <v>0</v>
      </c>
      <c r="AP351" s="31">
        <f>H351*(1-1)</f>
        <v>0</v>
      </c>
      <c r="AQ351" s="34" t="s">
        <v>56</v>
      </c>
      <c r="AV351" s="31">
        <f>ROUND(AW351+AX351,2)</f>
        <v>0</v>
      </c>
      <c r="AW351" s="31">
        <f>ROUND(G351*AO351,2)</f>
        <v>0</v>
      </c>
      <c r="AX351" s="31">
        <f>ROUND(G351*AP351,2)</f>
        <v>0</v>
      </c>
      <c r="AY351" s="34" t="s">
        <v>392</v>
      </c>
      <c r="AZ351" s="34" t="s">
        <v>295</v>
      </c>
      <c r="BA351" s="12" t="s">
        <v>63</v>
      </c>
      <c r="BC351" s="31">
        <f>AW351+AX351</f>
        <v>0</v>
      </c>
      <c r="BD351" s="31">
        <f>H351/(100-BE351)*100</f>
        <v>0</v>
      </c>
      <c r="BE351" s="31">
        <v>0</v>
      </c>
      <c r="BF351" s="31">
        <f>O351</f>
        <v>0.01</v>
      </c>
      <c r="BH351" s="31">
        <f>G351*AO351</f>
        <v>0</v>
      </c>
      <c r="BI351" s="31">
        <f>G351*AP351</f>
        <v>0</v>
      </c>
      <c r="BJ351" s="31">
        <f>G351*H351</f>
        <v>0</v>
      </c>
      <c r="BK351" s="34" t="s">
        <v>203</v>
      </c>
      <c r="BL351" s="31"/>
      <c r="BW351" s="31">
        <f>I351</f>
        <v>21</v>
      </c>
      <c r="BX351" s="4" t="s">
        <v>1191</v>
      </c>
    </row>
    <row r="352" spans="1:76" x14ac:dyDescent="0.25">
      <c r="A352" s="35"/>
      <c r="D352" s="87" t="s">
        <v>453</v>
      </c>
      <c r="E352" s="36" t="s">
        <v>53</v>
      </c>
      <c r="G352" s="37">
        <v>1</v>
      </c>
      <c r="P352" s="38"/>
      <c r="BX352" t="s">
        <v>453</v>
      </c>
    </row>
    <row r="353" spans="1:76" ht="315" customHeight="1" x14ac:dyDescent="0.25">
      <c r="A353" s="2">
        <f>A351+1</f>
        <v>122</v>
      </c>
      <c r="B353" s="3" t="s">
        <v>53</v>
      </c>
      <c r="C353" s="3" t="s">
        <v>454</v>
      </c>
      <c r="D353" s="378" t="s">
        <v>754</v>
      </c>
      <c r="E353" s="379"/>
      <c r="F353" s="3" t="s">
        <v>134</v>
      </c>
      <c r="G353" s="31">
        <v>1</v>
      </c>
      <c r="H353" s="287">
        <v>0</v>
      </c>
      <c r="I353" s="32">
        <v>21</v>
      </c>
      <c r="J353" s="31">
        <f>ROUND(G353*AO353,2)</f>
        <v>0</v>
      </c>
      <c r="K353" s="31">
        <f>ROUND(G353*AP353,2)</f>
        <v>0</v>
      </c>
      <c r="L353" s="31">
        <f>ROUND(G353*H353,2)</f>
        <v>0</v>
      </c>
      <c r="M353" s="31">
        <f>L353*(1+BW353/100)</f>
        <v>0</v>
      </c>
      <c r="N353" s="31">
        <v>0</v>
      </c>
      <c r="O353" s="31">
        <f>G353*N353</f>
        <v>0</v>
      </c>
      <c r="P353" s="33" t="s">
        <v>53</v>
      </c>
      <c r="Z353" s="31">
        <f>ROUND(IF(AQ353="5",BJ353,0),2)</f>
        <v>0</v>
      </c>
      <c r="AB353" s="31">
        <f>ROUND(IF(AQ353="1",BH353,0),2)</f>
        <v>0</v>
      </c>
      <c r="AC353" s="31">
        <f>ROUND(IF(AQ353="1",BI353,0),2)</f>
        <v>0</v>
      </c>
      <c r="AD353" s="31">
        <f>ROUND(IF(AQ353="7",BH353,0),2)</f>
        <v>0</v>
      </c>
      <c r="AE353" s="31">
        <f>ROUND(IF(AQ353="7",BI353,0),2)</f>
        <v>0</v>
      </c>
      <c r="AF353" s="31">
        <f>ROUND(IF(AQ353="2",BH353,0),2)</f>
        <v>0</v>
      </c>
      <c r="AG353" s="31">
        <f>ROUND(IF(AQ353="2",BI353,0),2)</f>
        <v>0</v>
      </c>
      <c r="AH353" s="31">
        <f>ROUND(IF(AQ353="0",BJ353,0),2)</f>
        <v>0</v>
      </c>
      <c r="AI353" s="12" t="s">
        <v>53</v>
      </c>
      <c r="AJ353" s="31">
        <f>IF(AN353=0,L353,0)</f>
        <v>0</v>
      </c>
      <c r="AK353" s="31">
        <f>IF(AN353=12,L353,0)</f>
        <v>0</v>
      </c>
      <c r="AL353" s="31">
        <f>IF(AN353=21,L353,0)</f>
        <v>0</v>
      </c>
      <c r="AN353" s="31">
        <v>21</v>
      </c>
      <c r="AO353" s="31">
        <f>H353*1</f>
        <v>0</v>
      </c>
      <c r="AP353" s="31">
        <f>H353*(1-1)</f>
        <v>0</v>
      </c>
      <c r="AQ353" s="34" t="s">
        <v>56</v>
      </c>
      <c r="AV353" s="31">
        <f>ROUND(AW353+AX353,2)</f>
        <v>0</v>
      </c>
      <c r="AW353" s="31">
        <f>ROUND(G353*AO353,2)</f>
        <v>0</v>
      </c>
      <c r="AX353" s="31">
        <f>ROUND(G353*AP353,2)</f>
        <v>0</v>
      </c>
      <c r="AY353" s="34" t="s">
        <v>392</v>
      </c>
      <c r="AZ353" s="34" t="s">
        <v>295</v>
      </c>
      <c r="BA353" s="12" t="s">
        <v>63</v>
      </c>
      <c r="BC353" s="31">
        <f>AW353+AX353</f>
        <v>0</v>
      </c>
      <c r="BD353" s="31">
        <f>H353/(100-BE353)*100</f>
        <v>0</v>
      </c>
      <c r="BE353" s="31">
        <v>0</v>
      </c>
      <c r="BF353" s="31">
        <f>O353</f>
        <v>0</v>
      </c>
      <c r="BH353" s="31">
        <f>G353*AO353</f>
        <v>0</v>
      </c>
      <c r="BI353" s="31">
        <f>G353*AP353</f>
        <v>0</v>
      </c>
      <c r="BJ353" s="31">
        <f>G353*H353</f>
        <v>0</v>
      </c>
      <c r="BK353" s="34" t="s">
        <v>203</v>
      </c>
      <c r="BL353" s="31"/>
      <c r="BW353" s="31">
        <f>I353</f>
        <v>21</v>
      </c>
      <c r="BX353" s="4" t="s">
        <v>754</v>
      </c>
    </row>
    <row r="354" spans="1:76" x14ac:dyDescent="0.25">
      <c r="A354" s="35"/>
      <c r="D354" s="87" t="s">
        <v>455</v>
      </c>
      <c r="E354" s="36" t="s">
        <v>53</v>
      </c>
      <c r="G354" s="37">
        <v>1</v>
      </c>
      <c r="P354" s="38"/>
      <c r="BX354" t="s">
        <v>455</v>
      </c>
    </row>
    <row r="355" spans="1:76" x14ac:dyDescent="0.25">
      <c r="A355" s="2">
        <f>A353+1</f>
        <v>123</v>
      </c>
      <c r="B355" s="3" t="s">
        <v>53</v>
      </c>
      <c r="C355" s="3" t="s">
        <v>456</v>
      </c>
      <c r="D355" s="310" t="s">
        <v>457</v>
      </c>
      <c r="E355" s="307"/>
      <c r="F355" s="3" t="s">
        <v>134</v>
      </c>
      <c r="G355" s="31">
        <v>10</v>
      </c>
      <c r="H355" s="31">
        <v>0</v>
      </c>
      <c r="I355" s="32">
        <v>21</v>
      </c>
      <c r="J355" s="31">
        <f>ROUND(G355*AO355,2)</f>
        <v>0</v>
      </c>
      <c r="K355" s="31">
        <f>ROUND(G355*AP355,2)</f>
        <v>0</v>
      </c>
      <c r="L355" s="31">
        <f>ROUND(G355*H355,2)</f>
        <v>0</v>
      </c>
      <c r="M355" s="31">
        <f>L355*(1+BW355/100)</f>
        <v>0</v>
      </c>
      <c r="N355" s="31">
        <v>6.5300000000000002E-3</v>
      </c>
      <c r="O355" s="31">
        <f>G355*N355</f>
        <v>6.5299999999999997E-2</v>
      </c>
      <c r="P355" s="33" t="s">
        <v>175</v>
      </c>
      <c r="Z355" s="31">
        <f>ROUND(IF(AQ355="5",BJ355,0),2)</f>
        <v>0</v>
      </c>
      <c r="AB355" s="31">
        <f>ROUND(IF(AQ355="1",BH355,0),2)</f>
        <v>0</v>
      </c>
      <c r="AC355" s="31">
        <f>ROUND(IF(AQ355="1",BI355,0),2)</f>
        <v>0</v>
      </c>
      <c r="AD355" s="31">
        <f>ROUND(IF(AQ355="7",BH355,0),2)</f>
        <v>0</v>
      </c>
      <c r="AE355" s="31">
        <f>ROUND(IF(AQ355="7",BI355,0),2)</f>
        <v>0</v>
      </c>
      <c r="AF355" s="31">
        <f>ROUND(IF(AQ355="2",BH355,0),2)</f>
        <v>0</v>
      </c>
      <c r="AG355" s="31">
        <f>ROUND(IF(AQ355="2",BI355,0),2)</f>
        <v>0</v>
      </c>
      <c r="AH355" s="31">
        <f>ROUND(IF(AQ355="0",BJ355,0),2)</f>
        <v>0</v>
      </c>
      <c r="AI355" s="12" t="s">
        <v>53</v>
      </c>
      <c r="AJ355" s="31">
        <f>IF(AN355=0,L355,0)</f>
        <v>0</v>
      </c>
      <c r="AK355" s="31">
        <f>IF(AN355=12,L355,0)</f>
        <v>0</v>
      </c>
      <c r="AL355" s="31">
        <f>IF(AN355=21,L355,0)</f>
        <v>0</v>
      </c>
      <c r="AN355" s="31">
        <v>21</v>
      </c>
      <c r="AO355" s="31">
        <f>H355*1</f>
        <v>0</v>
      </c>
      <c r="AP355" s="31">
        <f>H355*(1-1)</f>
        <v>0</v>
      </c>
      <c r="AQ355" s="34" t="s">
        <v>56</v>
      </c>
      <c r="AV355" s="31">
        <f>ROUND(AW355+AX355,2)</f>
        <v>0</v>
      </c>
      <c r="AW355" s="31">
        <f>ROUND(G355*AO355,2)</f>
        <v>0</v>
      </c>
      <c r="AX355" s="31">
        <f>ROUND(G355*AP355,2)</f>
        <v>0</v>
      </c>
      <c r="AY355" s="34" t="s">
        <v>392</v>
      </c>
      <c r="AZ355" s="34" t="s">
        <v>295</v>
      </c>
      <c r="BA355" s="12" t="s">
        <v>63</v>
      </c>
      <c r="BC355" s="31">
        <f>AW355+AX355</f>
        <v>0</v>
      </c>
      <c r="BD355" s="31">
        <f>H355/(100-BE355)*100</f>
        <v>0</v>
      </c>
      <c r="BE355" s="31">
        <v>0</v>
      </c>
      <c r="BF355" s="31">
        <f>O355</f>
        <v>6.5299999999999997E-2</v>
      </c>
      <c r="BH355" s="31">
        <f>G355*AO355</f>
        <v>0</v>
      </c>
      <c r="BI355" s="31">
        <f>G355*AP355</f>
        <v>0</v>
      </c>
      <c r="BJ355" s="31">
        <f>G355*H355</f>
        <v>0</v>
      </c>
      <c r="BK355" s="34" t="s">
        <v>203</v>
      </c>
      <c r="BL355" s="31"/>
      <c r="BW355" s="31">
        <f>I355</f>
        <v>21</v>
      </c>
      <c r="BX355" s="4" t="s">
        <v>457</v>
      </c>
    </row>
    <row r="356" spans="1:76" x14ac:dyDescent="0.25">
      <c r="A356" s="35"/>
      <c r="D356" s="87" t="s">
        <v>458</v>
      </c>
      <c r="E356" s="36" t="s">
        <v>53</v>
      </c>
      <c r="G356" s="37">
        <v>10</v>
      </c>
      <c r="P356" s="38"/>
      <c r="BX356" t="s">
        <v>458</v>
      </c>
    </row>
    <row r="357" spans="1:76" x14ac:dyDescent="0.25">
      <c r="A357" s="2">
        <f>A355+1</f>
        <v>124</v>
      </c>
      <c r="B357" s="3" t="s">
        <v>53</v>
      </c>
      <c r="C357" s="3" t="s">
        <v>459</v>
      </c>
      <c r="D357" s="310" t="s">
        <v>460</v>
      </c>
      <c r="E357" s="307"/>
      <c r="F357" s="3" t="s">
        <v>134</v>
      </c>
      <c r="G357" s="31">
        <v>5</v>
      </c>
      <c r="H357" s="31">
        <v>0</v>
      </c>
      <c r="I357" s="32">
        <v>21</v>
      </c>
      <c r="J357" s="31">
        <f>ROUND(G357*AO357,2)</f>
        <v>0</v>
      </c>
      <c r="K357" s="31">
        <f>ROUND(G357*AP357,2)</f>
        <v>0</v>
      </c>
      <c r="L357" s="31">
        <f>ROUND(G357*H357,2)</f>
        <v>0</v>
      </c>
      <c r="M357" s="31">
        <f>L357*(1+BW357/100)</f>
        <v>0</v>
      </c>
      <c r="N357" s="31">
        <v>1.2600000000000001E-3</v>
      </c>
      <c r="O357" s="31">
        <f>G357*N357</f>
        <v>6.3E-3</v>
      </c>
      <c r="P357" s="33" t="s">
        <v>60</v>
      </c>
      <c r="Z357" s="31">
        <f>ROUND(IF(AQ357="5",BJ357,0),2)</f>
        <v>0</v>
      </c>
      <c r="AB357" s="31">
        <f>ROUND(IF(AQ357="1",BH357,0),2)</f>
        <v>0</v>
      </c>
      <c r="AC357" s="31">
        <f>ROUND(IF(AQ357="1",BI357,0),2)</f>
        <v>0</v>
      </c>
      <c r="AD357" s="31">
        <f>ROUND(IF(AQ357="7",BH357,0),2)</f>
        <v>0</v>
      </c>
      <c r="AE357" s="31">
        <f>ROUND(IF(AQ357="7",BI357,0),2)</f>
        <v>0</v>
      </c>
      <c r="AF357" s="31">
        <f>ROUND(IF(AQ357="2",BH357,0),2)</f>
        <v>0</v>
      </c>
      <c r="AG357" s="31">
        <f>ROUND(IF(AQ357="2",BI357,0),2)</f>
        <v>0</v>
      </c>
      <c r="AH357" s="31">
        <f>ROUND(IF(AQ357="0",BJ357,0),2)</f>
        <v>0</v>
      </c>
      <c r="AI357" s="12" t="s">
        <v>53</v>
      </c>
      <c r="AJ357" s="31">
        <f>IF(AN357=0,L357,0)</f>
        <v>0</v>
      </c>
      <c r="AK357" s="31">
        <f>IF(AN357=12,L357,0)</f>
        <v>0</v>
      </c>
      <c r="AL357" s="31">
        <f>IF(AN357=21,L357,0)</f>
        <v>0</v>
      </c>
      <c r="AN357" s="31">
        <v>21</v>
      </c>
      <c r="AO357" s="31">
        <f>H357*0.17891201</f>
        <v>0</v>
      </c>
      <c r="AP357" s="31">
        <f>H357*(1-0.17891201)</f>
        <v>0</v>
      </c>
      <c r="AQ357" s="34" t="s">
        <v>68</v>
      </c>
      <c r="AV357" s="31">
        <f>ROUND(AW357+AX357,2)</f>
        <v>0</v>
      </c>
      <c r="AW357" s="31">
        <f>ROUND(G357*AO357,2)</f>
        <v>0</v>
      </c>
      <c r="AX357" s="31">
        <f>ROUND(G357*AP357,2)</f>
        <v>0</v>
      </c>
      <c r="AY357" s="34" t="s">
        <v>392</v>
      </c>
      <c r="AZ357" s="34" t="s">
        <v>295</v>
      </c>
      <c r="BA357" s="12" t="s">
        <v>63</v>
      </c>
      <c r="BC357" s="31">
        <f>AW357+AX357</f>
        <v>0</v>
      </c>
      <c r="BD357" s="31">
        <f>H357/(100-BE357)*100</f>
        <v>0</v>
      </c>
      <c r="BE357" s="31">
        <v>0</v>
      </c>
      <c r="BF357" s="31">
        <f>O357</f>
        <v>6.3E-3</v>
      </c>
      <c r="BH357" s="31">
        <f>G357*AO357</f>
        <v>0</v>
      </c>
      <c r="BI357" s="31">
        <f>G357*AP357</f>
        <v>0</v>
      </c>
      <c r="BJ357" s="31">
        <f>G357*H357</f>
        <v>0</v>
      </c>
      <c r="BK357" s="34" t="s">
        <v>64</v>
      </c>
      <c r="BL357" s="31"/>
      <c r="BW357" s="31">
        <f>I357</f>
        <v>21</v>
      </c>
      <c r="BX357" s="4" t="s">
        <v>460</v>
      </c>
    </row>
    <row r="358" spans="1:76" x14ac:dyDescent="0.25">
      <c r="A358" s="43"/>
      <c r="B358" s="44"/>
      <c r="C358" s="44"/>
      <c r="D358" s="87" t="s">
        <v>447</v>
      </c>
      <c r="E358" s="36" t="s">
        <v>53</v>
      </c>
      <c r="F358" s="44"/>
      <c r="G358" s="37">
        <v>2</v>
      </c>
      <c r="H358" s="44"/>
      <c r="I358" s="44"/>
      <c r="J358" s="44"/>
      <c r="K358" s="44"/>
      <c r="L358" s="44"/>
      <c r="M358" s="44"/>
      <c r="N358" s="44"/>
      <c r="O358" s="44"/>
      <c r="P358" s="45"/>
      <c r="BX358" t="s">
        <v>447</v>
      </c>
    </row>
    <row r="359" spans="1:76" x14ac:dyDescent="0.25">
      <c r="A359" s="35"/>
      <c r="D359" s="87" t="s">
        <v>461</v>
      </c>
      <c r="E359" s="36" t="s">
        <v>53</v>
      </c>
      <c r="G359" s="37">
        <v>1</v>
      </c>
      <c r="P359" s="38"/>
      <c r="BX359" t="s">
        <v>461</v>
      </c>
    </row>
    <row r="360" spans="1:76" x14ac:dyDescent="0.25">
      <c r="A360" s="35"/>
      <c r="D360" s="87" t="s">
        <v>462</v>
      </c>
      <c r="E360" s="36" t="s">
        <v>53</v>
      </c>
      <c r="G360" s="37">
        <v>2</v>
      </c>
      <c r="P360" s="38"/>
      <c r="BX360" t="s">
        <v>462</v>
      </c>
    </row>
    <row r="361" spans="1:76" x14ac:dyDescent="0.25">
      <c r="A361" s="2">
        <f>A357+1</f>
        <v>125</v>
      </c>
      <c r="B361" s="3" t="s">
        <v>53</v>
      </c>
      <c r="C361" s="3" t="s">
        <v>463</v>
      </c>
      <c r="D361" s="310" t="s">
        <v>464</v>
      </c>
      <c r="E361" s="307"/>
      <c r="F361" s="3" t="s">
        <v>134</v>
      </c>
      <c r="G361" s="31">
        <v>2</v>
      </c>
      <c r="H361" s="31">
        <v>0</v>
      </c>
      <c r="I361" s="32">
        <v>21</v>
      </c>
      <c r="J361" s="31">
        <f>ROUND(G361*AO361,2)</f>
        <v>0</v>
      </c>
      <c r="K361" s="31">
        <f>ROUND(G361*AP361,2)</f>
        <v>0</v>
      </c>
      <c r="L361" s="31">
        <f>ROUND(G361*H361,2)</f>
        <v>0</v>
      </c>
      <c r="M361" s="31">
        <f>L361*(1+BW361/100)</f>
        <v>0</v>
      </c>
      <c r="N361" s="31">
        <v>9.7300000000000008E-3</v>
      </c>
      <c r="O361" s="31">
        <f>G361*N361</f>
        <v>1.9460000000000002E-2</v>
      </c>
      <c r="P361" s="33" t="s">
        <v>53</v>
      </c>
      <c r="Z361" s="31">
        <f>ROUND(IF(AQ361="5",BJ361,0),2)</f>
        <v>0</v>
      </c>
      <c r="AB361" s="31">
        <f>ROUND(IF(AQ361="1",BH361,0),2)</f>
        <v>0</v>
      </c>
      <c r="AC361" s="31">
        <f>ROUND(IF(AQ361="1",BI361,0),2)</f>
        <v>0</v>
      </c>
      <c r="AD361" s="31">
        <f>ROUND(IF(AQ361="7",BH361,0),2)</f>
        <v>0</v>
      </c>
      <c r="AE361" s="31">
        <f>ROUND(IF(AQ361="7",BI361,0),2)</f>
        <v>0</v>
      </c>
      <c r="AF361" s="31">
        <f>ROUND(IF(AQ361="2",BH361,0),2)</f>
        <v>0</v>
      </c>
      <c r="AG361" s="31">
        <f>ROUND(IF(AQ361="2",BI361,0),2)</f>
        <v>0</v>
      </c>
      <c r="AH361" s="31">
        <f>ROUND(IF(AQ361="0",BJ361,0),2)</f>
        <v>0</v>
      </c>
      <c r="AI361" s="12" t="s">
        <v>53</v>
      </c>
      <c r="AJ361" s="31">
        <f>IF(AN361=0,L361,0)</f>
        <v>0</v>
      </c>
      <c r="AK361" s="31">
        <f>IF(AN361=12,L361,0)</f>
        <v>0</v>
      </c>
      <c r="AL361" s="31">
        <f>IF(AN361=21,L361,0)</f>
        <v>0</v>
      </c>
      <c r="AN361" s="31">
        <v>21</v>
      </c>
      <c r="AO361" s="31">
        <f>H361*1</f>
        <v>0</v>
      </c>
      <c r="AP361" s="31">
        <f>H361*(1-1)</f>
        <v>0</v>
      </c>
      <c r="AQ361" s="34" t="s">
        <v>56</v>
      </c>
      <c r="AV361" s="31">
        <f>ROUND(AW361+AX361,2)</f>
        <v>0</v>
      </c>
      <c r="AW361" s="31">
        <f>ROUND(G361*AO361,2)</f>
        <v>0</v>
      </c>
      <c r="AX361" s="31">
        <f>ROUND(G361*AP361,2)</f>
        <v>0</v>
      </c>
      <c r="AY361" s="34" t="s">
        <v>392</v>
      </c>
      <c r="AZ361" s="34" t="s">
        <v>295</v>
      </c>
      <c r="BA361" s="12" t="s">
        <v>63</v>
      </c>
      <c r="BC361" s="31">
        <f>AW361+AX361</f>
        <v>0</v>
      </c>
      <c r="BD361" s="31">
        <f>H361/(100-BE361)*100</f>
        <v>0</v>
      </c>
      <c r="BE361" s="31">
        <v>0</v>
      </c>
      <c r="BF361" s="31">
        <f>O361</f>
        <v>1.9460000000000002E-2</v>
      </c>
      <c r="BH361" s="31">
        <f>G361*AO361</f>
        <v>0</v>
      </c>
      <c r="BI361" s="31">
        <f>G361*AP361</f>
        <v>0</v>
      </c>
      <c r="BJ361" s="31">
        <f>G361*H361</f>
        <v>0</v>
      </c>
      <c r="BK361" s="34" t="s">
        <v>203</v>
      </c>
      <c r="BL361" s="31"/>
      <c r="BW361" s="31">
        <f>I361</f>
        <v>21</v>
      </c>
      <c r="BX361" s="4" t="s">
        <v>464</v>
      </c>
    </row>
    <row r="362" spans="1:76" x14ac:dyDescent="0.25">
      <c r="A362" s="35"/>
      <c r="D362" s="87" t="s">
        <v>465</v>
      </c>
      <c r="E362" s="36" t="s">
        <v>53</v>
      </c>
      <c r="G362" s="37">
        <v>2</v>
      </c>
      <c r="P362" s="38"/>
      <c r="BX362" t="s">
        <v>465</v>
      </c>
    </row>
    <row r="363" spans="1:76" x14ac:dyDescent="0.25">
      <c r="A363" s="2">
        <f>A361+1</f>
        <v>126</v>
      </c>
      <c r="B363" s="3" t="s">
        <v>53</v>
      </c>
      <c r="C363" s="3" t="s">
        <v>466</v>
      </c>
      <c r="D363" s="390" t="s">
        <v>630</v>
      </c>
      <c r="E363" s="307"/>
      <c r="F363" s="3" t="s">
        <v>134</v>
      </c>
      <c r="G363" s="31">
        <v>1</v>
      </c>
      <c r="H363" s="31">
        <v>0</v>
      </c>
      <c r="I363" s="32">
        <v>21</v>
      </c>
      <c r="J363" s="31">
        <f>ROUND(G363*AO363,2)</f>
        <v>0</v>
      </c>
      <c r="K363" s="31">
        <f>ROUND(G363*AP363,2)</f>
        <v>0</v>
      </c>
      <c r="L363" s="31">
        <f>ROUND(G363*H363,2)</f>
        <v>0</v>
      </c>
      <c r="M363" s="31">
        <f>L363*(1+BW363/100)</f>
        <v>0</v>
      </c>
      <c r="N363" s="31">
        <v>7.9100000000000004E-3</v>
      </c>
      <c r="O363" s="31">
        <f>G363*N363</f>
        <v>7.9100000000000004E-3</v>
      </c>
      <c r="P363" s="33" t="s">
        <v>53</v>
      </c>
      <c r="Z363" s="31">
        <f>ROUND(IF(AQ363="5",BJ363,0),2)</f>
        <v>0</v>
      </c>
      <c r="AB363" s="31">
        <f>ROUND(IF(AQ363="1",BH363,0),2)</f>
        <v>0</v>
      </c>
      <c r="AC363" s="31">
        <f>ROUND(IF(AQ363="1",BI363,0),2)</f>
        <v>0</v>
      </c>
      <c r="AD363" s="31">
        <f>ROUND(IF(AQ363="7",BH363,0),2)</f>
        <v>0</v>
      </c>
      <c r="AE363" s="31">
        <f>ROUND(IF(AQ363="7",BI363,0),2)</f>
        <v>0</v>
      </c>
      <c r="AF363" s="31">
        <f>ROUND(IF(AQ363="2",BH363,0),2)</f>
        <v>0</v>
      </c>
      <c r="AG363" s="31">
        <f>ROUND(IF(AQ363="2",BI363,0),2)</f>
        <v>0</v>
      </c>
      <c r="AH363" s="31">
        <f>ROUND(IF(AQ363="0",BJ363,0),2)</f>
        <v>0</v>
      </c>
      <c r="AI363" s="12" t="s">
        <v>53</v>
      </c>
      <c r="AJ363" s="31">
        <f>IF(AN363=0,L363,0)</f>
        <v>0</v>
      </c>
      <c r="AK363" s="31">
        <f>IF(AN363=12,L363,0)</f>
        <v>0</v>
      </c>
      <c r="AL363" s="31">
        <f>IF(AN363=21,L363,0)</f>
        <v>0</v>
      </c>
      <c r="AN363" s="31">
        <v>21</v>
      </c>
      <c r="AO363" s="31">
        <f>H363*1</f>
        <v>0</v>
      </c>
      <c r="AP363" s="31">
        <f>H363*(1-1)</f>
        <v>0</v>
      </c>
      <c r="AQ363" s="34" t="s">
        <v>56</v>
      </c>
      <c r="AV363" s="31">
        <f>ROUND(AW363+AX363,2)</f>
        <v>0</v>
      </c>
      <c r="AW363" s="31">
        <f>ROUND(G363*AO363,2)</f>
        <v>0</v>
      </c>
      <c r="AX363" s="31">
        <f>ROUND(G363*AP363,2)</f>
        <v>0</v>
      </c>
      <c r="AY363" s="34" t="s">
        <v>392</v>
      </c>
      <c r="AZ363" s="34" t="s">
        <v>295</v>
      </c>
      <c r="BA363" s="12" t="s">
        <v>63</v>
      </c>
      <c r="BC363" s="31">
        <f>AW363+AX363</f>
        <v>0</v>
      </c>
      <c r="BD363" s="31">
        <f>H363/(100-BE363)*100</f>
        <v>0</v>
      </c>
      <c r="BE363" s="31">
        <v>0</v>
      </c>
      <c r="BF363" s="31">
        <f>O363</f>
        <v>7.9100000000000004E-3</v>
      </c>
      <c r="BH363" s="31">
        <f>G363*AO363</f>
        <v>0</v>
      </c>
      <c r="BI363" s="31">
        <f>G363*AP363</f>
        <v>0</v>
      </c>
      <c r="BJ363" s="31">
        <f>G363*H363</f>
        <v>0</v>
      </c>
      <c r="BK363" s="34" t="s">
        <v>203</v>
      </c>
      <c r="BL363" s="31"/>
      <c r="BW363" s="31">
        <f>I363</f>
        <v>21</v>
      </c>
      <c r="BX363" s="4" t="s">
        <v>630</v>
      </c>
    </row>
    <row r="364" spans="1:76" x14ac:dyDescent="0.25">
      <c r="A364" s="35"/>
      <c r="D364" s="87" t="s">
        <v>467</v>
      </c>
      <c r="E364" s="36" t="s">
        <v>53</v>
      </c>
      <c r="G364" s="37">
        <v>1</v>
      </c>
      <c r="P364" s="38"/>
      <c r="BX364" t="s">
        <v>467</v>
      </c>
    </row>
    <row r="365" spans="1:76" x14ac:dyDescent="0.25">
      <c r="A365" s="2">
        <f>A363+1</f>
        <v>127</v>
      </c>
      <c r="B365" s="3" t="s">
        <v>53</v>
      </c>
      <c r="C365" s="3" t="s">
        <v>468</v>
      </c>
      <c r="D365" s="310" t="s">
        <v>469</v>
      </c>
      <c r="E365" s="307"/>
      <c r="F365" s="3" t="s">
        <v>134</v>
      </c>
      <c r="G365" s="31">
        <v>2</v>
      </c>
      <c r="H365" s="31">
        <v>0</v>
      </c>
      <c r="I365" s="32">
        <v>21</v>
      </c>
      <c r="J365" s="31">
        <f>ROUND(G365*AO365,2)</f>
        <v>0</v>
      </c>
      <c r="K365" s="31">
        <f>ROUND(G365*AP365,2)</f>
        <v>0</v>
      </c>
      <c r="L365" s="31">
        <f>ROUND(G365*H365,2)</f>
        <v>0</v>
      </c>
      <c r="M365" s="31">
        <f>L365*(1+BW365/100)</f>
        <v>0</v>
      </c>
      <c r="N365" s="31">
        <v>2.9E-4</v>
      </c>
      <c r="O365" s="31">
        <f>G365*N365</f>
        <v>5.8E-4</v>
      </c>
      <c r="P365" s="33" t="s">
        <v>60</v>
      </c>
      <c r="Z365" s="31">
        <f>ROUND(IF(AQ365="5",BJ365,0),2)</f>
        <v>0</v>
      </c>
      <c r="AB365" s="31">
        <f>ROUND(IF(AQ365="1",BH365,0),2)</f>
        <v>0</v>
      </c>
      <c r="AC365" s="31">
        <f>ROUND(IF(AQ365="1",BI365,0),2)</f>
        <v>0</v>
      </c>
      <c r="AD365" s="31">
        <f>ROUND(IF(AQ365="7",BH365,0),2)</f>
        <v>0</v>
      </c>
      <c r="AE365" s="31">
        <f>ROUND(IF(AQ365="7",BI365,0),2)</f>
        <v>0</v>
      </c>
      <c r="AF365" s="31">
        <f>ROUND(IF(AQ365="2",BH365,0),2)</f>
        <v>0</v>
      </c>
      <c r="AG365" s="31">
        <f>ROUND(IF(AQ365="2",BI365,0),2)</f>
        <v>0</v>
      </c>
      <c r="AH365" s="31">
        <f>ROUND(IF(AQ365="0",BJ365,0),2)</f>
        <v>0</v>
      </c>
      <c r="AI365" s="12" t="s">
        <v>53</v>
      </c>
      <c r="AJ365" s="31">
        <f>IF(AN365=0,L365,0)</f>
        <v>0</v>
      </c>
      <c r="AK365" s="31">
        <f>IF(AN365=12,L365,0)</f>
        <v>0</v>
      </c>
      <c r="AL365" s="31">
        <f>IF(AN365=21,L365,0)</f>
        <v>0</v>
      </c>
      <c r="AN365" s="31">
        <v>21</v>
      </c>
      <c r="AO365" s="31">
        <f>H365*0.068879213</f>
        <v>0</v>
      </c>
      <c r="AP365" s="31">
        <f>H365*(1-0.068879213)</f>
        <v>0</v>
      </c>
      <c r="AQ365" s="34" t="s">
        <v>68</v>
      </c>
      <c r="AV365" s="31">
        <f>ROUND(AW365+AX365,2)</f>
        <v>0</v>
      </c>
      <c r="AW365" s="31">
        <f>ROUND(G365*AO365,2)</f>
        <v>0</v>
      </c>
      <c r="AX365" s="31">
        <f>ROUND(G365*AP365,2)</f>
        <v>0</v>
      </c>
      <c r="AY365" s="34" t="s">
        <v>392</v>
      </c>
      <c r="AZ365" s="34" t="s">
        <v>295</v>
      </c>
      <c r="BA365" s="12" t="s">
        <v>63</v>
      </c>
      <c r="BC365" s="31">
        <f>AW365+AX365</f>
        <v>0</v>
      </c>
      <c r="BD365" s="31">
        <f>H365/(100-BE365)*100</f>
        <v>0</v>
      </c>
      <c r="BE365" s="31">
        <v>0</v>
      </c>
      <c r="BF365" s="31">
        <f>O365</f>
        <v>5.8E-4</v>
      </c>
      <c r="BH365" s="31">
        <f>G365*AO365</f>
        <v>0</v>
      </c>
      <c r="BI365" s="31">
        <f>G365*AP365</f>
        <v>0</v>
      </c>
      <c r="BJ365" s="31">
        <f>G365*H365</f>
        <v>0</v>
      </c>
      <c r="BK365" s="34" t="s">
        <v>64</v>
      </c>
      <c r="BL365" s="31"/>
      <c r="BW365" s="31">
        <f>I365</f>
        <v>21</v>
      </c>
      <c r="BX365" s="4" t="s">
        <v>469</v>
      </c>
    </row>
    <row r="366" spans="1:76" x14ac:dyDescent="0.25">
      <c r="A366" s="35"/>
      <c r="D366" s="87" t="s">
        <v>470</v>
      </c>
      <c r="E366" s="36" t="s">
        <v>53</v>
      </c>
      <c r="G366" s="37">
        <v>1</v>
      </c>
      <c r="P366" s="38"/>
      <c r="BX366" t="s">
        <v>470</v>
      </c>
    </row>
    <row r="367" spans="1:76" x14ac:dyDescent="0.25">
      <c r="A367" s="35"/>
      <c r="D367" s="87" t="s">
        <v>471</v>
      </c>
      <c r="E367" s="36" t="s">
        <v>53</v>
      </c>
      <c r="G367" s="37">
        <v>1</v>
      </c>
      <c r="P367" s="38"/>
      <c r="BX367" t="s">
        <v>471</v>
      </c>
    </row>
    <row r="368" spans="1:76" x14ac:dyDescent="0.25">
      <c r="A368" s="2">
        <f>A365+1</f>
        <v>128</v>
      </c>
      <c r="B368" s="3" t="s">
        <v>53</v>
      </c>
      <c r="C368" s="3" t="s">
        <v>472</v>
      </c>
      <c r="D368" s="310" t="s">
        <v>1193</v>
      </c>
      <c r="E368" s="307"/>
      <c r="F368" s="3" t="s">
        <v>134</v>
      </c>
      <c r="G368" s="31">
        <v>3</v>
      </c>
      <c r="H368" s="31">
        <v>0</v>
      </c>
      <c r="I368" s="32">
        <v>21</v>
      </c>
      <c r="J368" s="31">
        <f>ROUND(G368*AO368,2)</f>
        <v>0</v>
      </c>
      <c r="K368" s="31">
        <f>ROUND(G368*AP368,2)</f>
        <v>0</v>
      </c>
      <c r="L368" s="31">
        <f>ROUND(G368*H368,2)</f>
        <v>0</v>
      </c>
      <c r="M368" s="31">
        <f>L368*(1+BW368/100)</f>
        <v>0</v>
      </c>
      <c r="N368" s="31">
        <v>0</v>
      </c>
      <c r="O368" s="31">
        <f>G368*N368</f>
        <v>0</v>
      </c>
      <c r="P368" s="33" t="s">
        <v>53</v>
      </c>
      <c r="Z368" s="31">
        <f>ROUND(IF(AQ368="5",BJ368,0),2)</f>
        <v>0</v>
      </c>
      <c r="AB368" s="31">
        <f>ROUND(IF(AQ368="1",BH368,0),2)</f>
        <v>0</v>
      </c>
      <c r="AC368" s="31">
        <f>ROUND(IF(AQ368="1",BI368,0),2)</f>
        <v>0</v>
      </c>
      <c r="AD368" s="31">
        <f>ROUND(IF(AQ368="7",BH368,0),2)</f>
        <v>0</v>
      </c>
      <c r="AE368" s="31">
        <f>ROUND(IF(AQ368="7",BI368,0),2)</f>
        <v>0</v>
      </c>
      <c r="AF368" s="31">
        <f>ROUND(IF(AQ368="2",BH368,0),2)</f>
        <v>0</v>
      </c>
      <c r="AG368" s="31">
        <f>ROUND(IF(AQ368="2",BI368,0),2)</f>
        <v>0</v>
      </c>
      <c r="AH368" s="31">
        <f>ROUND(IF(AQ368="0",BJ368,0),2)</f>
        <v>0</v>
      </c>
      <c r="AI368" s="12" t="s">
        <v>53</v>
      </c>
      <c r="AJ368" s="31">
        <f>IF(AN368=0,L368,0)</f>
        <v>0</v>
      </c>
      <c r="AK368" s="31">
        <f>IF(AN368=12,L368,0)</f>
        <v>0</v>
      </c>
      <c r="AL368" s="31">
        <f>IF(AN368=21,L368,0)</f>
        <v>0</v>
      </c>
      <c r="AN368" s="31">
        <v>21</v>
      </c>
      <c r="AO368" s="31">
        <f>H368*1</f>
        <v>0</v>
      </c>
      <c r="AP368" s="31">
        <f>H368*(1-1)</f>
        <v>0</v>
      </c>
      <c r="AQ368" s="34" t="s">
        <v>56</v>
      </c>
      <c r="AV368" s="31">
        <f>ROUND(AW368+AX368,2)</f>
        <v>0</v>
      </c>
      <c r="AW368" s="31">
        <f>ROUND(G368*AO368,2)</f>
        <v>0</v>
      </c>
      <c r="AX368" s="31">
        <f>ROUND(G368*AP368,2)</f>
        <v>0</v>
      </c>
      <c r="AY368" s="34" t="s">
        <v>392</v>
      </c>
      <c r="AZ368" s="34" t="s">
        <v>295</v>
      </c>
      <c r="BA368" s="12" t="s">
        <v>63</v>
      </c>
      <c r="BC368" s="31">
        <f>AW368+AX368</f>
        <v>0</v>
      </c>
      <c r="BD368" s="31">
        <f>H368/(100-BE368)*100</f>
        <v>0</v>
      </c>
      <c r="BE368" s="31">
        <v>0</v>
      </c>
      <c r="BF368" s="31">
        <f>O368</f>
        <v>0</v>
      </c>
      <c r="BH368" s="31">
        <f>G368*AO368</f>
        <v>0</v>
      </c>
      <c r="BI368" s="31">
        <f>G368*AP368</f>
        <v>0</v>
      </c>
      <c r="BJ368" s="31">
        <f>G368*H368</f>
        <v>0</v>
      </c>
      <c r="BK368" s="34" t="s">
        <v>203</v>
      </c>
      <c r="BL368" s="31"/>
      <c r="BW368" s="31">
        <f>I368</f>
        <v>21</v>
      </c>
      <c r="BX368" s="4" t="s">
        <v>1193</v>
      </c>
    </row>
    <row r="369" spans="1:76" x14ac:dyDescent="0.25">
      <c r="A369" s="2">
        <f>A368+1</f>
        <v>129</v>
      </c>
      <c r="B369" s="3" t="s">
        <v>53</v>
      </c>
      <c r="C369" s="3" t="s">
        <v>473</v>
      </c>
      <c r="D369" s="390" t="s">
        <v>755</v>
      </c>
      <c r="E369" s="307"/>
      <c r="F369" s="3" t="s">
        <v>134</v>
      </c>
      <c r="G369" s="31">
        <v>1</v>
      </c>
      <c r="H369" s="31">
        <v>0</v>
      </c>
      <c r="I369" s="32">
        <v>21</v>
      </c>
      <c r="J369" s="31">
        <f>ROUND(G369*AO369,2)</f>
        <v>0</v>
      </c>
      <c r="K369" s="31">
        <f>ROUND(G369*AP369,2)</f>
        <v>0</v>
      </c>
      <c r="L369" s="31">
        <f>ROUND(G369*H369,2)</f>
        <v>0</v>
      </c>
      <c r="M369" s="31">
        <f>L369*(1+BW369/100)</f>
        <v>0</v>
      </c>
      <c r="N369" s="31">
        <v>4.6100000000000004E-3</v>
      </c>
      <c r="O369" s="31">
        <f>G369*N369</f>
        <v>4.6100000000000004E-3</v>
      </c>
      <c r="P369" s="33" t="s">
        <v>53</v>
      </c>
      <c r="Z369" s="31">
        <f>ROUND(IF(AQ369="5",BJ369,0),2)</f>
        <v>0</v>
      </c>
      <c r="AB369" s="31">
        <f>ROUND(IF(AQ369="1",BH369,0),2)</f>
        <v>0</v>
      </c>
      <c r="AC369" s="31">
        <f>ROUND(IF(AQ369="1",BI369,0),2)</f>
        <v>0</v>
      </c>
      <c r="AD369" s="31">
        <f>ROUND(IF(AQ369="7",BH369,0),2)</f>
        <v>0</v>
      </c>
      <c r="AE369" s="31">
        <f>ROUND(IF(AQ369="7",BI369,0),2)</f>
        <v>0</v>
      </c>
      <c r="AF369" s="31">
        <f>ROUND(IF(AQ369="2",BH369,0),2)</f>
        <v>0</v>
      </c>
      <c r="AG369" s="31">
        <f>ROUND(IF(AQ369="2",BI369,0),2)</f>
        <v>0</v>
      </c>
      <c r="AH369" s="31">
        <f>ROUND(IF(AQ369="0",BJ369,0),2)</f>
        <v>0</v>
      </c>
      <c r="AI369" s="12" t="s">
        <v>53</v>
      </c>
      <c r="AJ369" s="31">
        <f>IF(AN369=0,L369,0)</f>
        <v>0</v>
      </c>
      <c r="AK369" s="31">
        <f>IF(AN369=12,L369,0)</f>
        <v>0</v>
      </c>
      <c r="AL369" s="31">
        <f>IF(AN369=21,L369,0)</f>
        <v>0</v>
      </c>
      <c r="AN369" s="31">
        <v>21</v>
      </c>
      <c r="AO369" s="31">
        <f>H369*1</f>
        <v>0</v>
      </c>
      <c r="AP369" s="31">
        <f>H369*(1-1)</f>
        <v>0</v>
      </c>
      <c r="AQ369" s="34" t="s">
        <v>56</v>
      </c>
      <c r="AV369" s="31">
        <f>ROUND(AW369+AX369,2)</f>
        <v>0</v>
      </c>
      <c r="AW369" s="31">
        <f>ROUND(G369*AO369,2)</f>
        <v>0</v>
      </c>
      <c r="AX369" s="31">
        <f>ROUND(G369*AP369,2)</f>
        <v>0</v>
      </c>
      <c r="AY369" s="34" t="s">
        <v>392</v>
      </c>
      <c r="AZ369" s="34" t="s">
        <v>295</v>
      </c>
      <c r="BA369" s="12" t="s">
        <v>63</v>
      </c>
      <c r="BC369" s="31">
        <f>AW369+AX369</f>
        <v>0</v>
      </c>
      <c r="BD369" s="31">
        <f>H369/(100-BE369)*100</f>
        <v>0</v>
      </c>
      <c r="BE369" s="31">
        <v>0</v>
      </c>
      <c r="BF369" s="31">
        <f>O369</f>
        <v>4.6100000000000004E-3</v>
      </c>
      <c r="BH369" s="31">
        <f>G369*AO369</f>
        <v>0</v>
      </c>
      <c r="BI369" s="31">
        <f>G369*AP369</f>
        <v>0</v>
      </c>
      <c r="BJ369" s="31">
        <f>G369*H369</f>
        <v>0</v>
      </c>
      <c r="BK369" s="34" t="s">
        <v>203</v>
      </c>
      <c r="BL369" s="31"/>
      <c r="BW369" s="31">
        <f>I369</f>
        <v>21</v>
      </c>
      <c r="BX369" s="4" t="s">
        <v>755</v>
      </c>
    </row>
    <row r="370" spans="1:76" x14ac:dyDescent="0.25">
      <c r="A370" s="2">
        <f>A369+1</f>
        <v>130</v>
      </c>
      <c r="B370" s="3" t="s">
        <v>53</v>
      </c>
      <c r="C370" s="3" t="s">
        <v>474</v>
      </c>
      <c r="D370" s="390" t="s">
        <v>629</v>
      </c>
      <c r="E370" s="307"/>
      <c r="F370" s="3" t="s">
        <v>134</v>
      </c>
      <c r="G370" s="31">
        <v>1</v>
      </c>
      <c r="H370" s="31">
        <v>0</v>
      </c>
      <c r="I370" s="32">
        <v>21</v>
      </c>
      <c r="J370" s="31">
        <f>ROUND(G370*AO370,2)</f>
        <v>0</v>
      </c>
      <c r="K370" s="31">
        <f>ROUND(G370*AP370,2)</f>
        <v>0</v>
      </c>
      <c r="L370" s="31">
        <f>ROUND(G370*H370,2)</f>
        <v>0</v>
      </c>
      <c r="M370" s="31">
        <f>L370*(1+BW370/100)</f>
        <v>0</v>
      </c>
      <c r="N370" s="31">
        <v>3.7000000000000002E-3</v>
      </c>
      <c r="O370" s="31">
        <f>G370*N370</f>
        <v>3.7000000000000002E-3</v>
      </c>
      <c r="P370" s="33" t="s">
        <v>53</v>
      </c>
      <c r="Z370" s="31">
        <f>ROUND(IF(AQ370="5",BJ370,0),2)</f>
        <v>0</v>
      </c>
      <c r="AB370" s="31">
        <f>ROUND(IF(AQ370="1",BH370,0),2)</f>
        <v>0</v>
      </c>
      <c r="AC370" s="31">
        <f>ROUND(IF(AQ370="1",BI370,0),2)</f>
        <v>0</v>
      </c>
      <c r="AD370" s="31">
        <f>ROUND(IF(AQ370="7",BH370,0),2)</f>
        <v>0</v>
      </c>
      <c r="AE370" s="31">
        <f>ROUND(IF(AQ370="7",BI370,0),2)</f>
        <v>0</v>
      </c>
      <c r="AF370" s="31">
        <f>ROUND(IF(AQ370="2",BH370,0),2)</f>
        <v>0</v>
      </c>
      <c r="AG370" s="31">
        <f>ROUND(IF(AQ370="2",BI370,0),2)</f>
        <v>0</v>
      </c>
      <c r="AH370" s="31">
        <f>ROUND(IF(AQ370="0",BJ370,0),2)</f>
        <v>0</v>
      </c>
      <c r="AI370" s="12" t="s">
        <v>53</v>
      </c>
      <c r="AJ370" s="31">
        <f>IF(AN370=0,L370,0)</f>
        <v>0</v>
      </c>
      <c r="AK370" s="31">
        <f>IF(AN370=12,L370,0)</f>
        <v>0</v>
      </c>
      <c r="AL370" s="31">
        <f>IF(AN370=21,L370,0)</f>
        <v>0</v>
      </c>
      <c r="AN370" s="31">
        <v>21</v>
      </c>
      <c r="AO370" s="31">
        <f>H370*1</f>
        <v>0</v>
      </c>
      <c r="AP370" s="31">
        <f>H370*(1-1)</f>
        <v>0</v>
      </c>
      <c r="AQ370" s="34" t="s">
        <v>56</v>
      </c>
      <c r="AV370" s="31">
        <f>ROUND(AW370+AX370,2)</f>
        <v>0</v>
      </c>
      <c r="AW370" s="31">
        <f>ROUND(G370*AO370,2)</f>
        <v>0</v>
      </c>
      <c r="AX370" s="31">
        <f>ROUND(G370*AP370,2)</f>
        <v>0</v>
      </c>
      <c r="AY370" s="34" t="s">
        <v>392</v>
      </c>
      <c r="AZ370" s="34" t="s">
        <v>295</v>
      </c>
      <c r="BA370" s="12" t="s">
        <v>63</v>
      </c>
      <c r="BC370" s="31">
        <f>AW370+AX370</f>
        <v>0</v>
      </c>
      <c r="BD370" s="31">
        <f>H370/(100-BE370)*100</f>
        <v>0</v>
      </c>
      <c r="BE370" s="31">
        <v>0</v>
      </c>
      <c r="BF370" s="31">
        <f>O370</f>
        <v>3.7000000000000002E-3</v>
      </c>
      <c r="BH370" s="31">
        <f>G370*AO370</f>
        <v>0</v>
      </c>
      <c r="BI370" s="31">
        <f>G370*AP370</f>
        <v>0</v>
      </c>
      <c r="BJ370" s="31">
        <f>G370*H370</f>
        <v>0</v>
      </c>
      <c r="BK370" s="34" t="s">
        <v>203</v>
      </c>
      <c r="BL370" s="31"/>
      <c r="BW370" s="31">
        <f>I370</f>
        <v>21</v>
      </c>
      <c r="BX370" s="4" t="s">
        <v>629</v>
      </c>
    </row>
    <row r="371" spans="1:76" ht="138" customHeight="1" x14ac:dyDescent="0.25">
      <c r="A371" s="2">
        <f>A370+1</f>
        <v>131</v>
      </c>
      <c r="B371" s="3" t="s">
        <v>53</v>
      </c>
      <c r="C371" s="3" t="s">
        <v>475</v>
      </c>
      <c r="D371" s="390" t="s">
        <v>1192</v>
      </c>
      <c r="E371" s="307"/>
      <c r="F371" s="3" t="s">
        <v>134</v>
      </c>
      <c r="G371" s="31">
        <v>2</v>
      </c>
      <c r="H371" s="31">
        <v>0</v>
      </c>
      <c r="I371" s="32">
        <v>21</v>
      </c>
      <c r="J371" s="31">
        <f>ROUND(G371*AO371,2)</f>
        <v>0</v>
      </c>
      <c r="K371" s="31">
        <f>ROUND(G371*AP371,2)</f>
        <v>0</v>
      </c>
      <c r="L371" s="31">
        <f>ROUND(G371*H371,2)</f>
        <v>0</v>
      </c>
      <c r="M371" s="31">
        <f>L371*(1+BW371/100)</f>
        <v>0</v>
      </c>
      <c r="N371" s="31">
        <v>0.01</v>
      </c>
      <c r="O371" s="31">
        <f>G371*N371</f>
        <v>0.02</v>
      </c>
      <c r="P371" s="33" t="s">
        <v>53</v>
      </c>
      <c r="Z371" s="31">
        <f>ROUND(IF(AQ371="5",BJ371,0),2)</f>
        <v>0</v>
      </c>
      <c r="AB371" s="31">
        <f>ROUND(IF(AQ371="1",BH371,0),2)</f>
        <v>0</v>
      </c>
      <c r="AC371" s="31">
        <f>ROUND(IF(AQ371="1",BI371,0),2)</f>
        <v>0</v>
      </c>
      <c r="AD371" s="31">
        <f>ROUND(IF(AQ371="7",BH371,0),2)</f>
        <v>0</v>
      </c>
      <c r="AE371" s="31">
        <f>ROUND(IF(AQ371="7",BI371,0),2)</f>
        <v>0</v>
      </c>
      <c r="AF371" s="31">
        <f>ROUND(IF(AQ371="2",BH371,0),2)</f>
        <v>0</v>
      </c>
      <c r="AG371" s="31">
        <f>ROUND(IF(AQ371="2",BI371,0),2)</f>
        <v>0</v>
      </c>
      <c r="AH371" s="31">
        <f>ROUND(IF(AQ371="0",BJ371,0),2)</f>
        <v>0</v>
      </c>
      <c r="AI371" s="12" t="s">
        <v>53</v>
      </c>
      <c r="AJ371" s="31">
        <f>IF(AN371=0,L371,0)</f>
        <v>0</v>
      </c>
      <c r="AK371" s="31">
        <f>IF(AN371=12,L371,0)</f>
        <v>0</v>
      </c>
      <c r="AL371" s="31">
        <f>IF(AN371=21,L371,0)</f>
        <v>0</v>
      </c>
      <c r="AN371" s="31">
        <v>21</v>
      </c>
      <c r="AO371" s="31">
        <f>H371*1</f>
        <v>0</v>
      </c>
      <c r="AP371" s="31">
        <f>H371*(1-1)</f>
        <v>0</v>
      </c>
      <c r="AQ371" s="34" t="s">
        <v>56</v>
      </c>
      <c r="AV371" s="31">
        <f>ROUND(AW371+AX371,2)</f>
        <v>0</v>
      </c>
      <c r="AW371" s="31">
        <f>ROUND(G371*AO371,2)</f>
        <v>0</v>
      </c>
      <c r="AX371" s="31">
        <f>ROUND(G371*AP371,2)</f>
        <v>0</v>
      </c>
      <c r="AY371" s="34" t="s">
        <v>392</v>
      </c>
      <c r="AZ371" s="34" t="s">
        <v>295</v>
      </c>
      <c r="BA371" s="12" t="s">
        <v>63</v>
      </c>
      <c r="BC371" s="31">
        <f>AW371+AX371</f>
        <v>0</v>
      </c>
      <c r="BD371" s="31">
        <f>H371/(100-BE371)*100</f>
        <v>0</v>
      </c>
      <c r="BE371" s="31">
        <v>0</v>
      </c>
      <c r="BF371" s="31">
        <f>O371</f>
        <v>0.02</v>
      </c>
      <c r="BH371" s="31">
        <f>G371*AO371</f>
        <v>0</v>
      </c>
      <c r="BI371" s="31">
        <f>G371*AP371</f>
        <v>0</v>
      </c>
      <c r="BJ371" s="31">
        <f>G371*H371</f>
        <v>0</v>
      </c>
      <c r="BK371" s="34" t="s">
        <v>203</v>
      </c>
      <c r="BL371" s="31"/>
      <c r="BW371" s="31">
        <f>I371</f>
        <v>21</v>
      </c>
      <c r="BX371" s="4" t="s">
        <v>1192</v>
      </c>
    </row>
    <row r="372" spans="1:76" x14ac:dyDescent="0.25">
      <c r="A372" s="35"/>
      <c r="D372" s="87" t="s">
        <v>841</v>
      </c>
      <c r="E372" s="36" t="s">
        <v>53</v>
      </c>
      <c r="G372" s="37">
        <v>2</v>
      </c>
      <c r="P372" s="38"/>
      <c r="BX372" t="s">
        <v>841</v>
      </c>
    </row>
    <row r="373" spans="1:76" x14ac:dyDescent="0.25">
      <c r="A373" s="2">
        <f>A371+1</f>
        <v>132</v>
      </c>
      <c r="B373" s="3" t="s">
        <v>53</v>
      </c>
      <c r="C373" s="3" t="s">
        <v>476</v>
      </c>
      <c r="D373" s="310" t="s">
        <v>477</v>
      </c>
      <c r="E373" s="307"/>
      <c r="F373" s="3" t="s">
        <v>134</v>
      </c>
      <c r="G373" s="31">
        <v>32</v>
      </c>
      <c r="H373" s="31">
        <v>0</v>
      </c>
      <c r="I373" s="32">
        <v>21</v>
      </c>
      <c r="J373" s="31">
        <f>ROUND(G373*AO373,2)</f>
        <v>0</v>
      </c>
      <c r="K373" s="31">
        <f>ROUND(G373*AP373,2)</f>
        <v>0</v>
      </c>
      <c r="L373" s="31">
        <f>ROUND(G373*H373,2)</f>
        <v>0</v>
      </c>
      <c r="M373" s="31">
        <f>L373*(1+BW373/100)</f>
        <v>0</v>
      </c>
      <c r="N373" s="31">
        <v>6.9999999999999994E-5</v>
      </c>
      <c r="O373" s="31">
        <f>G373*N373</f>
        <v>2.2399999999999998E-3</v>
      </c>
      <c r="P373" s="33" t="s">
        <v>60</v>
      </c>
      <c r="Z373" s="31">
        <f>ROUND(IF(AQ373="5",BJ373,0),2)</f>
        <v>0</v>
      </c>
      <c r="AB373" s="31">
        <f>ROUND(IF(AQ373="1",BH373,0),2)</f>
        <v>0</v>
      </c>
      <c r="AC373" s="31">
        <f>ROUND(IF(AQ373="1",BI373,0),2)</f>
        <v>0</v>
      </c>
      <c r="AD373" s="31">
        <f>ROUND(IF(AQ373="7",BH373,0),2)</f>
        <v>0</v>
      </c>
      <c r="AE373" s="31">
        <f>ROUND(IF(AQ373="7",BI373,0),2)</f>
        <v>0</v>
      </c>
      <c r="AF373" s="31">
        <f>ROUND(IF(AQ373="2",BH373,0),2)</f>
        <v>0</v>
      </c>
      <c r="AG373" s="31">
        <f>ROUND(IF(AQ373="2",BI373,0),2)</f>
        <v>0</v>
      </c>
      <c r="AH373" s="31">
        <f>ROUND(IF(AQ373="0",BJ373,0),2)</f>
        <v>0</v>
      </c>
      <c r="AI373" s="12" t="s">
        <v>53</v>
      </c>
      <c r="AJ373" s="31">
        <f>IF(AN373=0,L373,0)</f>
        <v>0</v>
      </c>
      <c r="AK373" s="31">
        <f>IF(AN373=12,L373,0)</f>
        <v>0</v>
      </c>
      <c r="AL373" s="31">
        <f>IF(AN373=21,L373,0)</f>
        <v>0</v>
      </c>
      <c r="AN373" s="31">
        <v>21</v>
      </c>
      <c r="AO373" s="31">
        <f>H373*0.021012658</f>
        <v>0</v>
      </c>
      <c r="AP373" s="31">
        <f>H373*(1-0.021012658)</f>
        <v>0</v>
      </c>
      <c r="AQ373" s="34" t="s">
        <v>68</v>
      </c>
      <c r="AV373" s="31">
        <f>ROUND(AW373+AX373,2)</f>
        <v>0</v>
      </c>
      <c r="AW373" s="31">
        <f>ROUND(G373*AO373,2)</f>
        <v>0</v>
      </c>
      <c r="AX373" s="31">
        <f>ROUND(G373*AP373,2)</f>
        <v>0</v>
      </c>
      <c r="AY373" s="34" t="s">
        <v>392</v>
      </c>
      <c r="AZ373" s="34" t="s">
        <v>295</v>
      </c>
      <c r="BA373" s="12" t="s">
        <v>63</v>
      </c>
      <c r="BC373" s="31">
        <f>AW373+AX373</f>
        <v>0</v>
      </c>
      <c r="BD373" s="31">
        <f>H373/(100-BE373)*100</f>
        <v>0</v>
      </c>
      <c r="BE373" s="31">
        <v>0</v>
      </c>
      <c r="BF373" s="31">
        <f>O373</f>
        <v>2.2399999999999998E-3</v>
      </c>
      <c r="BH373" s="31">
        <f>G373*AO373</f>
        <v>0</v>
      </c>
      <c r="BI373" s="31">
        <f>G373*AP373</f>
        <v>0</v>
      </c>
      <c r="BJ373" s="31">
        <f>G373*H373</f>
        <v>0</v>
      </c>
      <c r="BK373" s="34" t="s">
        <v>64</v>
      </c>
      <c r="BL373" s="31"/>
      <c r="BW373" s="31">
        <f>I373</f>
        <v>21</v>
      </c>
      <c r="BX373" s="4" t="s">
        <v>477</v>
      </c>
    </row>
    <row r="374" spans="1:76" x14ac:dyDescent="0.25">
      <c r="A374" s="35"/>
      <c r="D374" s="87" t="s">
        <v>478</v>
      </c>
      <c r="E374" s="36" t="s">
        <v>53</v>
      </c>
      <c r="G374" s="37">
        <v>8</v>
      </c>
      <c r="P374" s="38"/>
      <c r="BX374" t="s">
        <v>478</v>
      </c>
    </row>
    <row r="375" spans="1:76" x14ac:dyDescent="0.25">
      <c r="A375" s="35"/>
      <c r="D375" s="87" t="s">
        <v>479</v>
      </c>
      <c r="E375" s="36" t="s">
        <v>53</v>
      </c>
      <c r="G375" s="37">
        <v>6</v>
      </c>
      <c r="P375" s="38"/>
      <c r="BX375" t="s">
        <v>479</v>
      </c>
    </row>
    <row r="376" spans="1:76" x14ac:dyDescent="0.25">
      <c r="A376" s="35"/>
      <c r="D376" s="87" t="s">
        <v>863</v>
      </c>
      <c r="E376" s="36" t="s">
        <v>53</v>
      </c>
      <c r="G376" s="37">
        <v>6</v>
      </c>
      <c r="P376" s="38"/>
      <c r="BX376" t="s">
        <v>863</v>
      </c>
    </row>
    <row r="377" spans="1:76" s="205" customFormat="1" x14ac:dyDescent="0.25">
      <c r="A377" s="213"/>
      <c r="D377" s="214" t="s">
        <v>869</v>
      </c>
      <c r="E377" s="204" t="s">
        <v>53</v>
      </c>
      <c r="G377" s="206">
        <v>12</v>
      </c>
      <c r="P377" s="215"/>
      <c r="BX377" s="205" t="s">
        <v>869</v>
      </c>
    </row>
    <row r="378" spans="1:76" ht="57.75" customHeight="1" x14ac:dyDescent="0.25">
      <c r="A378" s="2">
        <f>A373+1</f>
        <v>133</v>
      </c>
      <c r="B378" s="3" t="s">
        <v>53</v>
      </c>
      <c r="C378" s="3" t="s">
        <v>480</v>
      </c>
      <c r="D378" s="310" t="s">
        <v>1175</v>
      </c>
      <c r="E378" s="307"/>
      <c r="F378" s="3" t="s">
        <v>134</v>
      </c>
      <c r="G378" s="31">
        <v>6</v>
      </c>
      <c r="H378" s="31">
        <v>0</v>
      </c>
      <c r="I378" s="32">
        <v>21</v>
      </c>
      <c r="J378" s="31">
        <f>ROUND(G378*AO378,2)</f>
        <v>0</v>
      </c>
      <c r="K378" s="31">
        <f>ROUND(G378*AP378,2)</f>
        <v>0</v>
      </c>
      <c r="L378" s="31">
        <f>ROUND(G378*H378,2)</f>
        <v>0</v>
      </c>
      <c r="M378" s="31">
        <f>L378*(1+BW378/100)</f>
        <v>0</v>
      </c>
      <c r="N378" s="31">
        <v>1.4999999999999999E-2</v>
      </c>
      <c r="O378" s="31">
        <f>G378*N378</f>
        <v>0.09</v>
      </c>
      <c r="P378" s="33" t="s">
        <v>53</v>
      </c>
      <c r="Z378" s="31">
        <f>ROUND(IF(AQ378="5",BJ378,0),2)</f>
        <v>0</v>
      </c>
      <c r="AB378" s="31">
        <f>ROUND(IF(AQ378="1",BH378,0),2)</f>
        <v>0</v>
      </c>
      <c r="AC378" s="31">
        <f>ROUND(IF(AQ378="1",BI378,0),2)</f>
        <v>0</v>
      </c>
      <c r="AD378" s="31">
        <f>ROUND(IF(AQ378="7",BH378,0),2)</f>
        <v>0</v>
      </c>
      <c r="AE378" s="31">
        <f>ROUND(IF(AQ378="7",BI378,0),2)</f>
        <v>0</v>
      </c>
      <c r="AF378" s="31">
        <f>ROUND(IF(AQ378="2",BH378,0),2)</f>
        <v>0</v>
      </c>
      <c r="AG378" s="31">
        <f>ROUND(IF(AQ378="2",BI378,0),2)</f>
        <v>0</v>
      </c>
      <c r="AH378" s="31">
        <f>ROUND(IF(AQ378="0",BJ378,0),2)</f>
        <v>0</v>
      </c>
      <c r="AI378" s="12" t="s">
        <v>53</v>
      </c>
      <c r="AJ378" s="31">
        <f>IF(AN378=0,L378,0)</f>
        <v>0</v>
      </c>
      <c r="AK378" s="31">
        <f>IF(AN378=12,L378,0)</f>
        <v>0</v>
      </c>
      <c r="AL378" s="31">
        <f>IF(AN378=21,L378,0)</f>
        <v>0</v>
      </c>
      <c r="AN378" s="31">
        <v>21</v>
      </c>
      <c r="AO378" s="31">
        <f>H378*1</f>
        <v>0</v>
      </c>
      <c r="AP378" s="31">
        <f>H378*(1-1)</f>
        <v>0</v>
      </c>
      <c r="AQ378" s="34" t="s">
        <v>56</v>
      </c>
      <c r="AV378" s="31">
        <f>ROUND(AW378+AX378,2)</f>
        <v>0</v>
      </c>
      <c r="AW378" s="31">
        <f>ROUND(G378*AO378,2)</f>
        <v>0</v>
      </c>
      <c r="AX378" s="31">
        <f>ROUND(G378*AP378,2)</f>
        <v>0</v>
      </c>
      <c r="AY378" s="34" t="s">
        <v>392</v>
      </c>
      <c r="AZ378" s="34" t="s">
        <v>295</v>
      </c>
      <c r="BA378" s="12" t="s">
        <v>63</v>
      </c>
      <c r="BC378" s="31">
        <f>AW378+AX378</f>
        <v>0</v>
      </c>
      <c r="BD378" s="31">
        <f>H378/(100-BE378)*100</f>
        <v>0</v>
      </c>
      <c r="BE378" s="31">
        <v>0</v>
      </c>
      <c r="BF378" s="31">
        <f>O378</f>
        <v>0.09</v>
      </c>
      <c r="BH378" s="31">
        <f>G378*AO378</f>
        <v>0</v>
      </c>
      <c r="BI378" s="31">
        <f>G378*AP378</f>
        <v>0</v>
      </c>
      <c r="BJ378" s="31">
        <f>G378*H378</f>
        <v>0</v>
      </c>
      <c r="BK378" s="34" t="s">
        <v>203</v>
      </c>
      <c r="BL378" s="31"/>
      <c r="BW378" s="31">
        <f>I378</f>
        <v>21</v>
      </c>
      <c r="BX378" s="4" t="s">
        <v>1175</v>
      </c>
    </row>
    <row r="379" spans="1:76" x14ac:dyDescent="0.25">
      <c r="A379" s="35"/>
      <c r="D379" s="87" t="s">
        <v>481</v>
      </c>
      <c r="E379" s="36" t="s">
        <v>53</v>
      </c>
      <c r="G379" s="37">
        <v>6</v>
      </c>
      <c r="P379" s="38"/>
      <c r="BX379" t="s">
        <v>481</v>
      </c>
    </row>
    <row r="380" spans="1:76" ht="25.5" x14ac:dyDescent="0.25">
      <c r="A380" s="2">
        <f>A378+1</f>
        <v>134</v>
      </c>
      <c r="B380" s="3" t="s">
        <v>53</v>
      </c>
      <c r="C380" s="3" t="s">
        <v>480</v>
      </c>
      <c r="D380" s="310" t="s">
        <v>1176</v>
      </c>
      <c r="E380" s="307"/>
      <c r="F380" s="3" t="s">
        <v>134</v>
      </c>
      <c r="G380" s="31">
        <v>6</v>
      </c>
      <c r="H380" s="31">
        <v>0</v>
      </c>
      <c r="I380" s="32">
        <v>21</v>
      </c>
      <c r="J380" s="31">
        <f>ROUND(G380*AO380,2)</f>
        <v>0</v>
      </c>
      <c r="K380" s="31">
        <f>ROUND(G380*AP380,2)</f>
        <v>0</v>
      </c>
      <c r="L380" s="31">
        <f>ROUND(G380*H380,2)</f>
        <v>0</v>
      </c>
      <c r="M380" s="31">
        <f>L380*(1+BW380/100)</f>
        <v>0</v>
      </c>
      <c r="N380" s="31">
        <v>1.4999999999999999E-2</v>
      </c>
      <c r="O380" s="31">
        <f>G380*N380</f>
        <v>0.09</v>
      </c>
      <c r="P380" s="33" t="s">
        <v>53</v>
      </c>
      <c r="Z380" s="31">
        <f>ROUND(IF(AQ380="5",BJ380,0),2)</f>
        <v>0</v>
      </c>
      <c r="AB380" s="31">
        <f>ROUND(IF(AQ380="1",BH380,0),2)</f>
        <v>0</v>
      </c>
      <c r="AC380" s="31">
        <f>ROUND(IF(AQ380="1",BI380,0),2)</f>
        <v>0</v>
      </c>
      <c r="AD380" s="31">
        <f>ROUND(IF(AQ380="7",BH380,0),2)</f>
        <v>0</v>
      </c>
      <c r="AE380" s="31">
        <f>ROUND(IF(AQ380="7",BI380,0),2)</f>
        <v>0</v>
      </c>
      <c r="AF380" s="31">
        <f>ROUND(IF(AQ380="2",BH380,0),2)</f>
        <v>0</v>
      </c>
      <c r="AG380" s="31">
        <f>ROUND(IF(AQ380="2",BI380,0),2)</f>
        <v>0</v>
      </c>
      <c r="AH380" s="31">
        <f>ROUND(IF(AQ380="0",BJ380,0),2)</f>
        <v>0</v>
      </c>
      <c r="AI380" s="12" t="s">
        <v>53</v>
      </c>
      <c r="AJ380" s="31">
        <f>IF(AN380=0,L380,0)</f>
        <v>0</v>
      </c>
      <c r="AK380" s="31">
        <f>IF(AN380=12,L380,0)</f>
        <v>0</v>
      </c>
      <c r="AL380" s="31">
        <f>IF(AN380=21,L380,0)</f>
        <v>0</v>
      </c>
      <c r="AN380" s="31">
        <v>21</v>
      </c>
      <c r="AO380" s="31">
        <f>H380*1</f>
        <v>0</v>
      </c>
      <c r="AP380" s="31">
        <f>H380*(1-1)</f>
        <v>0</v>
      </c>
      <c r="AQ380" s="34" t="s">
        <v>56</v>
      </c>
      <c r="AV380" s="31">
        <f>ROUND(AW380+AX380,2)</f>
        <v>0</v>
      </c>
      <c r="AW380" s="31">
        <f>ROUND(G380*AO380,2)</f>
        <v>0</v>
      </c>
      <c r="AX380" s="31">
        <f>ROUND(G380*AP380,2)</f>
        <v>0</v>
      </c>
      <c r="AY380" s="34" t="s">
        <v>392</v>
      </c>
      <c r="AZ380" s="34" t="s">
        <v>295</v>
      </c>
      <c r="BA380" s="12" t="s">
        <v>63</v>
      </c>
      <c r="BC380" s="31">
        <f>AW380+AX380</f>
        <v>0</v>
      </c>
      <c r="BD380" s="31">
        <f>H380/(100-BE380)*100</f>
        <v>0</v>
      </c>
      <c r="BE380" s="31">
        <v>0</v>
      </c>
      <c r="BF380" s="31">
        <f>O380</f>
        <v>0.09</v>
      </c>
      <c r="BH380" s="31">
        <f>G380*AO380</f>
        <v>0</v>
      </c>
      <c r="BI380" s="31">
        <f>G380*AP380</f>
        <v>0</v>
      </c>
      <c r="BJ380" s="31">
        <f>G380*H380</f>
        <v>0</v>
      </c>
      <c r="BK380" s="34" t="s">
        <v>203</v>
      </c>
      <c r="BL380" s="31"/>
      <c r="BW380" s="31">
        <f>I380</f>
        <v>21</v>
      </c>
      <c r="BX380" s="4" t="s">
        <v>1176</v>
      </c>
    </row>
    <row r="381" spans="1:76" s="205" customFormat="1" x14ac:dyDescent="0.25">
      <c r="A381" s="207">
        <f>A380+1</f>
        <v>135</v>
      </c>
      <c r="B381" s="202" t="s">
        <v>53</v>
      </c>
      <c r="C381" s="202" t="s">
        <v>864</v>
      </c>
      <c r="D381" s="370" t="s">
        <v>865</v>
      </c>
      <c r="E381" s="371"/>
      <c r="F381" s="202" t="s">
        <v>134</v>
      </c>
      <c r="G381" s="203">
        <v>12</v>
      </c>
      <c r="H381" s="203">
        <v>0</v>
      </c>
      <c r="I381" s="208">
        <v>12</v>
      </c>
      <c r="J381" s="203">
        <f>ROUND(G381*AO381,2)</f>
        <v>0</v>
      </c>
      <c r="K381" s="203">
        <f>ROUND(G381*AP381,2)</f>
        <v>0</v>
      </c>
      <c r="L381" s="203">
        <f>ROUND(G381*H381,2)</f>
        <v>0</v>
      </c>
      <c r="M381" s="203">
        <f>L381*(1+BW381/100)</f>
        <v>0</v>
      </c>
      <c r="N381" s="203">
        <v>0</v>
      </c>
      <c r="O381" s="203">
        <f>G381*N381</f>
        <v>0</v>
      </c>
      <c r="P381" s="209" t="s">
        <v>53</v>
      </c>
      <c r="Z381" s="203">
        <f>ROUND(IF(AQ381="5",BJ381,0),2)</f>
        <v>0</v>
      </c>
      <c r="AB381" s="203">
        <f>ROUND(IF(AQ381="1",BH381,0),2)</f>
        <v>0</v>
      </c>
      <c r="AC381" s="203">
        <f>ROUND(IF(AQ381="1",BI381,0),2)</f>
        <v>0</v>
      </c>
      <c r="AD381" s="203">
        <f>ROUND(IF(AQ381="7",BH381,0),2)</f>
        <v>0</v>
      </c>
      <c r="AE381" s="203">
        <f>ROUND(IF(AQ381="7",BI381,0),2)</f>
        <v>0</v>
      </c>
      <c r="AF381" s="203">
        <f>ROUND(IF(AQ381="2",BH381,0),2)</f>
        <v>0</v>
      </c>
      <c r="AG381" s="203">
        <f>ROUND(IF(AQ381="2",BI381,0),2)</f>
        <v>0</v>
      </c>
      <c r="AH381" s="203">
        <f>ROUND(IF(AQ381="0",BJ381,0),2)</f>
        <v>0</v>
      </c>
      <c r="AI381" s="210" t="s">
        <v>53</v>
      </c>
      <c r="AJ381" s="203">
        <f>IF(AN381=0,L381,0)</f>
        <v>0</v>
      </c>
      <c r="AK381" s="203">
        <f>IF(AN381=12,L381,0)</f>
        <v>0</v>
      </c>
      <c r="AL381" s="203">
        <f>IF(AN381=21,L381,0)</f>
        <v>0</v>
      </c>
      <c r="AN381" s="203">
        <v>12</v>
      </c>
      <c r="AO381" s="203">
        <f>H381*1</f>
        <v>0</v>
      </c>
      <c r="AP381" s="203">
        <f>H381*(1-1)</f>
        <v>0</v>
      </c>
      <c r="AQ381" s="211" t="s">
        <v>56</v>
      </c>
      <c r="AV381" s="203">
        <f>ROUND(AW381+AX381,2)</f>
        <v>0</v>
      </c>
      <c r="AW381" s="203">
        <f>ROUND(G381*AO381,2)</f>
        <v>0</v>
      </c>
      <c r="AX381" s="203">
        <f>ROUND(G381*AP381,2)</f>
        <v>0</v>
      </c>
      <c r="AY381" s="211" t="s">
        <v>392</v>
      </c>
      <c r="AZ381" s="211" t="s">
        <v>295</v>
      </c>
      <c r="BA381" s="210" t="s">
        <v>63</v>
      </c>
      <c r="BC381" s="203">
        <f>AW381+AX381</f>
        <v>0</v>
      </c>
      <c r="BD381" s="203">
        <f>H381/(100-BE381)*100</f>
        <v>0</v>
      </c>
      <c r="BE381" s="203">
        <v>0</v>
      </c>
      <c r="BF381" s="203">
        <f>O381</f>
        <v>0</v>
      </c>
      <c r="BH381" s="203">
        <f>G381*AO381</f>
        <v>0</v>
      </c>
      <c r="BI381" s="203">
        <f>G381*AP381</f>
        <v>0</v>
      </c>
      <c r="BJ381" s="203">
        <f>G381*H381</f>
        <v>0</v>
      </c>
      <c r="BK381" s="211" t="s">
        <v>203</v>
      </c>
      <c r="BL381" s="203"/>
      <c r="BW381" s="203">
        <f>I381</f>
        <v>12</v>
      </c>
      <c r="BX381" s="212" t="s">
        <v>865</v>
      </c>
    </row>
    <row r="382" spans="1:76" s="205" customFormat="1" x14ac:dyDescent="0.25">
      <c r="A382" s="213"/>
      <c r="D382" s="214" t="s">
        <v>868</v>
      </c>
      <c r="E382" s="204" t="s">
        <v>53</v>
      </c>
      <c r="G382" s="206">
        <v>12</v>
      </c>
      <c r="P382" s="215"/>
      <c r="BX382" s="205" t="s">
        <v>868</v>
      </c>
    </row>
    <row r="383" spans="1:76" s="205" customFormat="1" x14ac:dyDescent="0.25">
      <c r="A383" s="207">
        <f>A381+1</f>
        <v>136</v>
      </c>
      <c r="B383" s="202" t="s">
        <v>53</v>
      </c>
      <c r="C383" s="202" t="s">
        <v>866</v>
      </c>
      <c r="D383" s="370" t="s">
        <v>871</v>
      </c>
      <c r="E383" s="371"/>
      <c r="F383" s="202" t="s">
        <v>134</v>
      </c>
      <c r="G383" s="203">
        <v>12</v>
      </c>
      <c r="H383" s="203">
        <v>0</v>
      </c>
      <c r="I383" s="208">
        <v>12</v>
      </c>
      <c r="J383" s="203">
        <f>ROUND(G383*AO383,2)</f>
        <v>0</v>
      </c>
      <c r="K383" s="203">
        <f>ROUND(G383*AP383,2)</f>
        <v>0</v>
      </c>
      <c r="L383" s="203">
        <f>ROUND(G383*H383,2)</f>
        <v>0</v>
      </c>
      <c r="M383" s="203">
        <f>L383*(1+BW383/100)</f>
        <v>0</v>
      </c>
      <c r="N383" s="203">
        <v>0</v>
      </c>
      <c r="O383" s="203">
        <f>G383*N383</f>
        <v>0</v>
      </c>
      <c r="P383" s="209" t="s">
        <v>53</v>
      </c>
      <c r="Z383" s="203">
        <f>ROUND(IF(AQ383="5",BJ383,0),2)</f>
        <v>0</v>
      </c>
      <c r="AB383" s="203">
        <f>ROUND(IF(AQ383="1",BH383,0),2)</f>
        <v>0</v>
      </c>
      <c r="AC383" s="203">
        <f>ROUND(IF(AQ383="1",BI383,0),2)</f>
        <v>0</v>
      </c>
      <c r="AD383" s="203">
        <f>ROUND(IF(AQ383="7",BH383,0),2)</f>
        <v>0</v>
      </c>
      <c r="AE383" s="203">
        <f>ROUND(IF(AQ383="7",BI383,0),2)</f>
        <v>0</v>
      </c>
      <c r="AF383" s="203">
        <f>ROUND(IF(AQ383="2",BH383,0),2)</f>
        <v>0</v>
      </c>
      <c r="AG383" s="203">
        <f>ROUND(IF(AQ383="2",BI383,0),2)</f>
        <v>0</v>
      </c>
      <c r="AH383" s="203">
        <f>ROUND(IF(AQ383="0",BJ383,0),2)</f>
        <v>0</v>
      </c>
      <c r="AI383" s="210" t="s">
        <v>53</v>
      </c>
      <c r="AJ383" s="203">
        <f>IF(AN383=0,L383,0)</f>
        <v>0</v>
      </c>
      <c r="AK383" s="203">
        <f>IF(AN383=12,L383,0)</f>
        <v>0</v>
      </c>
      <c r="AL383" s="203">
        <f>IF(AN383=21,L383,0)</f>
        <v>0</v>
      </c>
      <c r="AN383" s="203">
        <v>12</v>
      </c>
      <c r="AO383" s="203">
        <f>H383*1</f>
        <v>0</v>
      </c>
      <c r="AP383" s="203">
        <f>H383*(1-1)</f>
        <v>0</v>
      </c>
      <c r="AQ383" s="211" t="s">
        <v>56</v>
      </c>
      <c r="AV383" s="203">
        <f>ROUND(AW383+AX383,2)</f>
        <v>0</v>
      </c>
      <c r="AW383" s="203">
        <f>ROUND(G383*AO383,2)</f>
        <v>0</v>
      </c>
      <c r="AX383" s="203">
        <f>ROUND(G383*AP383,2)</f>
        <v>0</v>
      </c>
      <c r="AY383" s="211" t="s">
        <v>392</v>
      </c>
      <c r="AZ383" s="211" t="s">
        <v>295</v>
      </c>
      <c r="BA383" s="210" t="s">
        <v>63</v>
      </c>
      <c r="BC383" s="203">
        <f>AW383+AX383</f>
        <v>0</v>
      </c>
      <c r="BD383" s="203">
        <f>H383/(100-BE383)*100</f>
        <v>0</v>
      </c>
      <c r="BE383" s="203">
        <v>0</v>
      </c>
      <c r="BF383" s="203">
        <f>O383</f>
        <v>0</v>
      </c>
      <c r="BH383" s="203">
        <f>G383*AO383</f>
        <v>0</v>
      </c>
      <c r="BI383" s="203">
        <f>G383*AP383</f>
        <v>0</v>
      </c>
      <c r="BJ383" s="203">
        <f>G383*H383</f>
        <v>0</v>
      </c>
      <c r="BK383" s="211" t="s">
        <v>203</v>
      </c>
      <c r="BL383" s="203"/>
      <c r="BW383" s="203">
        <f>I383</f>
        <v>12</v>
      </c>
      <c r="BX383" s="212" t="s">
        <v>871</v>
      </c>
    </row>
    <row r="384" spans="1:76" s="205" customFormat="1" x14ac:dyDescent="0.25">
      <c r="A384" s="213"/>
      <c r="D384" s="214" t="s">
        <v>868</v>
      </c>
      <c r="E384" s="204" t="s">
        <v>53</v>
      </c>
      <c r="G384" s="206">
        <v>12</v>
      </c>
      <c r="P384" s="215"/>
      <c r="BX384" s="205" t="s">
        <v>868</v>
      </c>
    </row>
    <row r="385" spans="1:76" s="205" customFormat="1" x14ac:dyDescent="0.25">
      <c r="A385" s="207">
        <f>A383+1</f>
        <v>137</v>
      </c>
      <c r="B385" s="202" t="s">
        <v>53</v>
      </c>
      <c r="C385" s="202" t="s">
        <v>867</v>
      </c>
      <c r="D385" s="370" t="s">
        <v>870</v>
      </c>
      <c r="E385" s="371"/>
      <c r="F385" s="202" t="s">
        <v>134</v>
      </c>
      <c r="G385" s="203">
        <v>12</v>
      </c>
      <c r="H385" s="203">
        <v>0</v>
      </c>
      <c r="I385" s="208">
        <v>12</v>
      </c>
      <c r="J385" s="203">
        <f>ROUND(G385*AO385,2)</f>
        <v>0</v>
      </c>
      <c r="K385" s="203">
        <f>ROUND(G385*AP385,2)</f>
        <v>0</v>
      </c>
      <c r="L385" s="203">
        <f>ROUND(G385*H385,2)</f>
        <v>0</v>
      </c>
      <c r="M385" s="203">
        <f>L385*(1+BW385/100)</f>
        <v>0</v>
      </c>
      <c r="N385" s="203">
        <v>0</v>
      </c>
      <c r="O385" s="203">
        <f>G385*N385</f>
        <v>0</v>
      </c>
      <c r="P385" s="209" t="s">
        <v>53</v>
      </c>
      <c r="Z385" s="203">
        <f>ROUND(IF(AQ385="5",BJ385,0),2)</f>
        <v>0</v>
      </c>
      <c r="AB385" s="203">
        <f>ROUND(IF(AQ385="1",BH385,0),2)</f>
        <v>0</v>
      </c>
      <c r="AC385" s="203">
        <f>ROUND(IF(AQ385="1",BI385,0),2)</f>
        <v>0</v>
      </c>
      <c r="AD385" s="203">
        <f>ROUND(IF(AQ385="7",BH385,0),2)</f>
        <v>0</v>
      </c>
      <c r="AE385" s="203">
        <f>ROUND(IF(AQ385="7",BI385,0),2)</f>
        <v>0</v>
      </c>
      <c r="AF385" s="203">
        <f>ROUND(IF(AQ385="2",BH385,0),2)</f>
        <v>0</v>
      </c>
      <c r="AG385" s="203">
        <f>ROUND(IF(AQ385="2",BI385,0),2)</f>
        <v>0</v>
      </c>
      <c r="AH385" s="203">
        <f>ROUND(IF(AQ385="0",BJ385,0),2)</f>
        <v>0</v>
      </c>
      <c r="AI385" s="210" t="s">
        <v>53</v>
      </c>
      <c r="AJ385" s="203">
        <f>IF(AN385=0,L385,0)</f>
        <v>0</v>
      </c>
      <c r="AK385" s="203">
        <f>IF(AN385=12,L385,0)</f>
        <v>0</v>
      </c>
      <c r="AL385" s="203">
        <f>IF(AN385=21,L385,0)</f>
        <v>0</v>
      </c>
      <c r="AN385" s="203">
        <v>12</v>
      </c>
      <c r="AO385" s="203">
        <f>H385*1</f>
        <v>0</v>
      </c>
      <c r="AP385" s="203">
        <f>H385*(1-1)</f>
        <v>0</v>
      </c>
      <c r="AQ385" s="211" t="s">
        <v>56</v>
      </c>
      <c r="AV385" s="203">
        <f>ROUND(AW385+AX385,2)</f>
        <v>0</v>
      </c>
      <c r="AW385" s="203">
        <f>ROUND(G385*AO385,2)</f>
        <v>0</v>
      </c>
      <c r="AX385" s="203">
        <f>ROUND(G385*AP385,2)</f>
        <v>0</v>
      </c>
      <c r="AY385" s="211" t="s">
        <v>392</v>
      </c>
      <c r="AZ385" s="211" t="s">
        <v>295</v>
      </c>
      <c r="BA385" s="210" t="s">
        <v>63</v>
      </c>
      <c r="BC385" s="203">
        <f>AW385+AX385</f>
        <v>0</v>
      </c>
      <c r="BD385" s="203">
        <f>H385/(100-BE385)*100</f>
        <v>0</v>
      </c>
      <c r="BE385" s="203">
        <v>0</v>
      </c>
      <c r="BF385" s="203">
        <f>O385</f>
        <v>0</v>
      </c>
      <c r="BH385" s="203">
        <f>G385*AO385</f>
        <v>0</v>
      </c>
      <c r="BI385" s="203">
        <f>G385*AP385</f>
        <v>0</v>
      </c>
      <c r="BJ385" s="203">
        <f>G385*H385</f>
        <v>0</v>
      </c>
      <c r="BK385" s="211" t="s">
        <v>203</v>
      </c>
      <c r="BL385" s="203"/>
      <c r="BW385" s="203">
        <f>I385</f>
        <v>12</v>
      </c>
      <c r="BX385" s="212" t="s">
        <v>870</v>
      </c>
    </row>
    <row r="386" spans="1:76" s="205" customFormat="1" x14ac:dyDescent="0.25">
      <c r="A386" s="213"/>
      <c r="D386" s="214" t="s">
        <v>868</v>
      </c>
      <c r="E386" s="204" t="s">
        <v>53</v>
      </c>
      <c r="G386" s="206">
        <v>12</v>
      </c>
      <c r="P386" s="215"/>
      <c r="BX386" s="205" t="s">
        <v>868</v>
      </c>
    </row>
    <row r="387" spans="1:76" x14ac:dyDescent="0.25">
      <c r="A387" s="2">
        <f>A385+1</f>
        <v>138</v>
      </c>
      <c r="B387" s="3" t="s">
        <v>53</v>
      </c>
      <c r="C387" s="3" t="s">
        <v>482</v>
      </c>
      <c r="D387" s="310" t="s">
        <v>483</v>
      </c>
      <c r="E387" s="307"/>
      <c r="F387" s="3" t="s">
        <v>134</v>
      </c>
      <c r="G387" s="31">
        <v>8</v>
      </c>
      <c r="H387" s="31">
        <v>0</v>
      </c>
      <c r="I387" s="32">
        <v>21</v>
      </c>
      <c r="J387" s="31">
        <f>ROUND(G387*AO387,2)</f>
        <v>0</v>
      </c>
      <c r="K387" s="31">
        <f>ROUND(G387*AP387,2)</f>
        <v>0</v>
      </c>
      <c r="L387" s="31">
        <f>ROUND(G387*H387,2)</f>
        <v>0</v>
      </c>
      <c r="M387" s="31">
        <f>L387*(1+BW387/100)</f>
        <v>0</v>
      </c>
      <c r="N387" s="31">
        <v>6.0000000000000002E-5</v>
      </c>
      <c r="O387" s="31">
        <f>G387*N387</f>
        <v>4.8000000000000001E-4</v>
      </c>
      <c r="P387" s="33" t="s">
        <v>53</v>
      </c>
      <c r="Z387" s="31">
        <f>ROUND(IF(AQ387="5",BJ387,0),2)</f>
        <v>0</v>
      </c>
      <c r="AB387" s="31">
        <f>ROUND(IF(AQ387="1",BH387,0),2)</f>
        <v>0</v>
      </c>
      <c r="AC387" s="31">
        <f>ROUND(IF(AQ387="1",BI387,0),2)</f>
        <v>0</v>
      </c>
      <c r="AD387" s="31">
        <f>ROUND(IF(AQ387="7",BH387,0),2)</f>
        <v>0</v>
      </c>
      <c r="AE387" s="31">
        <f>ROUND(IF(AQ387="7",BI387,0),2)</f>
        <v>0</v>
      </c>
      <c r="AF387" s="31">
        <f>ROUND(IF(AQ387="2",BH387,0),2)</f>
        <v>0</v>
      </c>
      <c r="AG387" s="31">
        <f>ROUND(IF(AQ387="2",BI387,0),2)</f>
        <v>0</v>
      </c>
      <c r="AH387" s="31">
        <f>ROUND(IF(AQ387="0",BJ387,0),2)</f>
        <v>0</v>
      </c>
      <c r="AI387" s="12" t="s">
        <v>53</v>
      </c>
      <c r="AJ387" s="31">
        <f>IF(AN387=0,L387,0)</f>
        <v>0</v>
      </c>
      <c r="AK387" s="31">
        <f>IF(AN387=12,L387,0)</f>
        <v>0</v>
      </c>
      <c r="AL387" s="31">
        <f>IF(AN387=21,L387,0)</f>
        <v>0</v>
      </c>
      <c r="AN387" s="31">
        <v>21</v>
      </c>
      <c r="AO387" s="31">
        <f>H387*1</f>
        <v>0</v>
      </c>
      <c r="AP387" s="31">
        <f>H387*(1-1)</f>
        <v>0</v>
      </c>
      <c r="AQ387" s="34" t="s">
        <v>56</v>
      </c>
      <c r="AV387" s="31">
        <f>ROUND(AW387+AX387,2)</f>
        <v>0</v>
      </c>
      <c r="AW387" s="31">
        <f>ROUND(G387*AO387,2)</f>
        <v>0</v>
      </c>
      <c r="AX387" s="31">
        <f>ROUND(G387*AP387,2)</f>
        <v>0</v>
      </c>
      <c r="AY387" s="34" t="s">
        <v>392</v>
      </c>
      <c r="AZ387" s="34" t="s">
        <v>295</v>
      </c>
      <c r="BA387" s="12" t="s">
        <v>63</v>
      </c>
      <c r="BC387" s="31">
        <f>AW387+AX387</f>
        <v>0</v>
      </c>
      <c r="BD387" s="31">
        <f>H387/(100-BE387)*100</f>
        <v>0</v>
      </c>
      <c r="BE387" s="31">
        <v>0</v>
      </c>
      <c r="BF387" s="31">
        <f>O387</f>
        <v>4.8000000000000001E-4</v>
      </c>
      <c r="BH387" s="31">
        <f>G387*AO387</f>
        <v>0</v>
      </c>
      <c r="BI387" s="31">
        <f>G387*AP387</f>
        <v>0</v>
      </c>
      <c r="BJ387" s="31">
        <f>G387*H387</f>
        <v>0</v>
      </c>
      <c r="BK387" s="34" t="s">
        <v>203</v>
      </c>
      <c r="BL387" s="31"/>
      <c r="BW387" s="31">
        <f>I387</f>
        <v>21</v>
      </c>
      <c r="BX387" s="4" t="s">
        <v>483</v>
      </c>
    </row>
    <row r="388" spans="1:76" x14ac:dyDescent="0.25">
      <c r="A388" s="35"/>
      <c r="D388" s="87" t="s">
        <v>484</v>
      </c>
      <c r="E388" s="36" t="s">
        <v>53</v>
      </c>
      <c r="G388" s="37">
        <v>8</v>
      </c>
      <c r="P388" s="38"/>
      <c r="BX388" t="s">
        <v>484</v>
      </c>
    </row>
    <row r="389" spans="1:76" x14ac:dyDescent="0.25">
      <c r="A389" s="2">
        <f>A387+1</f>
        <v>139</v>
      </c>
      <c r="B389" s="3" t="s">
        <v>53</v>
      </c>
      <c r="C389" s="3" t="s">
        <v>485</v>
      </c>
      <c r="D389" s="310" t="s">
        <v>486</v>
      </c>
      <c r="E389" s="307"/>
      <c r="F389" s="3" t="s">
        <v>134</v>
      </c>
      <c r="G389" s="31">
        <v>8</v>
      </c>
      <c r="H389" s="31">
        <v>0</v>
      </c>
      <c r="I389" s="32">
        <v>21</v>
      </c>
      <c r="J389" s="31">
        <f>ROUND(G389*AO389,2)</f>
        <v>0</v>
      </c>
      <c r="K389" s="31">
        <f>ROUND(G389*AP389,2)</f>
        <v>0</v>
      </c>
      <c r="L389" s="31">
        <f>ROUND(G389*H389,2)</f>
        <v>0</v>
      </c>
      <c r="M389" s="31">
        <f>L389*(1+BW389/100)</f>
        <v>0</v>
      </c>
      <c r="N389" s="31">
        <v>0</v>
      </c>
      <c r="O389" s="31">
        <f>G389*N389</f>
        <v>0</v>
      </c>
      <c r="P389" s="33" t="s">
        <v>60</v>
      </c>
      <c r="Z389" s="31">
        <f>ROUND(IF(AQ389="5",BJ389,0),2)</f>
        <v>0</v>
      </c>
      <c r="AB389" s="31">
        <f>ROUND(IF(AQ389="1",BH389,0),2)</f>
        <v>0</v>
      </c>
      <c r="AC389" s="31">
        <f>ROUND(IF(AQ389="1",BI389,0),2)</f>
        <v>0</v>
      </c>
      <c r="AD389" s="31">
        <f>ROUND(IF(AQ389="7",BH389,0),2)</f>
        <v>0</v>
      </c>
      <c r="AE389" s="31">
        <f>ROUND(IF(AQ389="7",BI389,0),2)</f>
        <v>0</v>
      </c>
      <c r="AF389" s="31">
        <f>ROUND(IF(AQ389="2",BH389,0),2)</f>
        <v>0</v>
      </c>
      <c r="AG389" s="31">
        <f>ROUND(IF(AQ389="2",BI389,0),2)</f>
        <v>0</v>
      </c>
      <c r="AH389" s="31">
        <f>ROUND(IF(AQ389="0",BJ389,0),2)</f>
        <v>0</v>
      </c>
      <c r="AI389" s="12" t="s">
        <v>53</v>
      </c>
      <c r="AJ389" s="31">
        <f>IF(AN389=0,L389,0)</f>
        <v>0</v>
      </c>
      <c r="AK389" s="31">
        <f>IF(AN389=12,L389,0)</f>
        <v>0</v>
      </c>
      <c r="AL389" s="31">
        <f>IF(AN389=21,L389,0)</f>
        <v>0</v>
      </c>
      <c r="AN389" s="31">
        <v>21</v>
      </c>
      <c r="AO389" s="31">
        <f>H389*0</f>
        <v>0</v>
      </c>
      <c r="AP389" s="31">
        <f>H389*(1-0)</f>
        <v>0</v>
      </c>
      <c r="AQ389" s="34" t="s">
        <v>68</v>
      </c>
      <c r="AV389" s="31">
        <f>ROUND(AW389+AX389,2)</f>
        <v>0</v>
      </c>
      <c r="AW389" s="31">
        <f>ROUND(G389*AO389,2)</f>
        <v>0</v>
      </c>
      <c r="AX389" s="31">
        <f>ROUND(G389*AP389,2)</f>
        <v>0</v>
      </c>
      <c r="AY389" s="34" t="s">
        <v>392</v>
      </c>
      <c r="AZ389" s="34" t="s">
        <v>295</v>
      </c>
      <c r="BA389" s="12" t="s">
        <v>63</v>
      </c>
      <c r="BC389" s="31">
        <f>AW389+AX389</f>
        <v>0</v>
      </c>
      <c r="BD389" s="31">
        <f>H389/(100-BE389)*100</f>
        <v>0</v>
      </c>
      <c r="BE389" s="31">
        <v>0</v>
      </c>
      <c r="BF389" s="31">
        <f>O389</f>
        <v>0</v>
      </c>
      <c r="BH389" s="31">
        <f>G389*AO389</f>
        <v>0</v>
      </c>
      <c r="BI389" s="31">
        <f>G389*AP389</f>
        <v>0</v>
      </c>
      <c r="BJ389" s="31">
        <f>G389*H389</f>
        <v>0</v>
      </c>
      <c r="BK389" s="34" t="s">
        <v>64</v>
      </c>
      <c r="BL389" s="31"/>
      <c r="BW389" s="31">
        <f>I389</f>
        <v>21</v>
      </c>
      <c r="BX389" s="4" t="s">
        <v>486</v>
      </c>
    </row>
    <row r="390" spans="1:76" x14ac:dyDescent="0.25">
      <c r="A390" s="35"/>
      <c r="D390" s="87" t="s">
        <v>487</v>
      </c>
      <c r="E390" s="36" t="s">
        <v>53</v>
      </c>
      <c r="G390" s="37">
        <v>8</v>
      </c>
      <c r="P390" s="38"/>
      <c r="BX390" t="s">
        <v>487</v>
      </c>
    </row>
    <row r="391" spans="1:76" ht="25.5" x14ac:dyDescent="0.25">
      <c r="A391" s="2">
        <f>A389+1</f>
        <v>140</v>
      </c>
      <c r="B391" s="3" t="s">
        <v>53</v>
      </c>
      <c r="C391" s="3" t="s">
        <v>488</v>
      </c>
      <c r="D391" s="310" t="s">
        <v>489</v>
      </c>
      <c r="E391" s="307"/>
      <c r="F391" s="3" t="s">
        <v>134</v>
      </c>
      <c r="G391" s="31">
        <v>8</v>
      </c>
      <c r="H391" s="31">
        <v>0</v>
      </c>
      <c r="I391" s="32">
        <v>21</v>
      </c>
      <c r="J391" s="31">
        <f>ROUND(G391*AO391,2)</f>
        <v>0</v>
      </c>
      <c r="K391" s="31">
        <f>ROUND(G391*AP391,2)</f>
        <v>0</v>
      </c>
      <c r="L391" s="31">
        <f>ROUND(G391*H391,2)</f>
        <v>0</v>
      </c>
      <c r="M391" s="31">
        <f>L391*(1+BW391/100)</f>
        <v>0</v>
      </c>
      <c r="N391" s="31">
        <v>0.01</v>
      </c>
      <c r="O391" s="31">
        <f>G391*N391</f>
        <v>0.08</v>
      </c>
      <c r="P391" s="33" t="s">
        <v>53</v>
      </c>
      <c r="Z391" s="31">
        <f>ROUND(IF(AQ391="5",BJ391,0),2)</f>
        <v>0</v>
      </c>
      <c r="AB391" s="31">
        <f>ROUND(IF(AQ391="1",BH391,0),2)</f>
        <v>0</v>
      </c>
      <c r="AC391" s="31">
        <f>ROUND(IF(AQ391="1",BI391,0),2)</f>
        <v>0</v>
      </c>
      <c r="AD391" s="31">
        <f>ROUND(IF(AQ391="7",BH391,0),2)</f>
        <v>0</v>
      </c>
      <c r="AE391" s="31">
        <f>ROUND(IF(AQ391="7",BI391,0),2)</f>
        <v>0</v>
      </c>
      <c r="AF391" s="31">
        <f>ROUND(IF(AQ391="2",BH391,0),2)</f>
        <v>0</v>
      </c>
      <c r="AG391" s="31">
        <f>ROUND(IF(AQ391="2",BI391,0),2)</f>
        <v>0</v>
      </c>
      <c r="AH391" s="31">
        <f>ROUND(IF(AQ391="0",BJ391,0),2)</f>
        <v>0</v>
      </c>
      <c r="AI391" s="12" t="s">
        <v>53</v>
      </c>
      <c r="AJ391" s="31">
        <f>IF(AN391=0,L391,0)</f>
        <v>0</v>
      </c>
      <c r="AK391" s="31">
        <f>IF(AN391=12,L391,0)</f>
        <v>0</v>
      </c>
      <c r="AL391" s="31">
        <f>IF(AN391=21,L391,0)</f>
        <v>0</v>
      </c>
      <c r="AN391" s="31">
        <v>21</v>
      </c>
      <c r="AO391" s="31">
        <f>H391*1</f>
        <v>0</v>
      </c>
      <c r="AP391" s="31">
        <f>H391*(1-1)</f>
        <v>0</v>
      </c>
      <c r="AQ391" s="34" t="s">
        <v>56</v>
      </c>
      <c r="AV391" s="31">
        <f>ROUND(AW391+AX391,2)</f>
        <v>0</v>
      </c>
      <c r="AW391" s="31">
        <f>ROUND(G391*AO391,2)</f>
        <v>0</v>
      </c>
      <c r="AX391" s="31">
        <f>ROUND(G391*AP391,2)</f>
        <v>0</v>
      </c>
      <c r="AY391" s="34" t="s">
        <v>392</v>
      </c>
      <c r="AZ391" s="34" t="s">
        <v>295</v>
      </c>
      <c r="BA391" s="12" t="s">
        <v>63</v>
      </c>
      <c r="BC391" s="31">
        <f>AW391+AX391</f>
        <v>0</v>
      </c>
      <c r="BD391" s="31">
        <f>H391/(100-BE391)*100</f>
        <v>0</v>
      </c>
      <c r="BE391" s="31">
        <v>0</v>
      </c>
      <c r="BF391" s="31">
        <f>O391</f>
        <v>0.08</v>
      </c>
      <c r="BH391" s="31">
        <f>G391*AO391</f>
        <v>0</v>
      </c>
      <c r="BI391" s="31">
        <f>G391*AP391</f>
        <v>0</v>
      </c>
      <c r="BJ391" s="31">
        <f>G391*H391</f>
        <v>0</v>
      </c>
      <c r="BK391" s="34" t="s">
        <v>203</v>
      </c>
      <c r="BL391" s="31"/>
      <c r="BW391" s="31">
        <f>I391</f>
        <v>21</v>
      </c>
      <c r="BX391" s="4" t="s">
        <v>489</v>
      </c>
    </row>
    <row r="392" spans="1:76" x14ac:dyDescent="0.25">
      <c r="A392" s="35"/>
      <c r="D392" s="87" t="s">
        <v>490</v>
      </c>
      <c r="E392" s="36" t="s">
        <v>53</v>
      </c>
      <c r="G392" s="37">
        <v>8</v>
      </c>
      <c r="P392" s="38"/>
      <c r="BX392" t="s">
        <v>490</v>
      </c>
    </row>
    <row r="393" spans="1:76" x14ac:dyDescent="0.25">
      <c r="A393" s="2">
        <f>A391+1</f>
        <v>141</v>
      </c>
      <c r="B393" s="3" t="s">
        <v>53</v>
      </c>
      <c r="C393" s="3" t="s">
        <v>491</v>
      </c>
      <c r="D393" s="310" t="s">
        <v>1177</v>
      </c>
      <c r="E393" s="307"/>
      <c r="F393" s="3" t="s">
        <v>134</v>
      </c>
      <c r="G393" s="31">
        <v>16</v>
      </c>
      <c r="H393" s="31">
        <v>0</v>
      </c>
      <c r="I393" s="32">
        <v>21</v>
      </c>
      <c r="J393" s="31">
        <f>ROUND(G393*AO393,2)</f>
        <v>0</v>
      </c>
      <c r="K393" s="31">
        <f>ROUND(G393*AP393,2)</f>
        <v>0</v>
      </c>
      <c r="L393" s="31">
        <f>ROUND(G393*H393,2)</f>
        <v>0</v>
      </c>
      <c r="M393" s="31">
        <f>L393*(1+BW393/100)</f>
        <v>0</v>
      </c>
      <c r="N393" s="31">
        <v>0</v>
      </c>
      <c r="O393" s="31">
        <f>G393*N393</f>
        <v>0</v>
      </c>
      <c r="P393" s="33" t="s">
        <v>492</v>
      </c>
      <c r="Z393" s="31">
        <f>ROUND(IF(AQ393="5",BJ393,0),2)</f>
        <v>0</v>
      </c>
      <c r="AB393" s="31">
        <f>ROUND(IF(AQ393="1",BH393,0),2)</f>
        <v>0</v>
      </c>
      <c r="AC393" s="31">
        <f>ROUND(IF(AQ393="1",BI393,0),2)</f>
        <v>0</v>
      </c>
      <c r="AD393" s="31">
        <f>ROUND(IF(AQ393="7",BH393,0),2)</f>
        <v>0</v>
      </c>
      <c r="AE393" s="31">
        <f>ROUND(IF(AQ393="7",BI393,0),2)</f>
        <v>0</v>
      </c>
      <c r="AF393" s="31">
        <f>ROUND(IF(AQ393="2",BH393,0),2)</f>
        <v>0</v>
      </c>
      <c r="AG393" s="31">
        <f>ROUND(IF(AQ393="2",BI393,0),2)</f>
        <v>0</v>
      </c>
      <c r="AH393" s="31">
        <f>ROUND(IF(AQ393="0",BJ393,0),2)</f>
        <v>0</v>
      </c>
      <c r="AI393" s="12" t="s">
        <v>53</v>
      </c>
      <c r="AJ393" s="31">
        <f>IF(AN393=0,L393,0)</f>
        <v>0</v>
      </c>
      <c r="AK393" s="31">
        <f>IF(AN393=12,L393,0)</f>
        <v>0</v>
      </c>
      <c r="AL393" s="31">
        <f>IF(AN393=21,L393,0)</f>
        <v>0</v>
      </c>
      <c r="AN393" s="31">
        <v>21</v>
      </c>
      <c r="AO393" s="31">
        <f>H393*1</f>
        <v>0</v>
      </c>
      <c r="AP393" s="31">
        <f>H393*(1-1)</f>
        <v>0</v>
      </c>
      <c r="AQ393" s="34" t="s">
        <v>56</v>
      </c>
      <c r="AV393" s="31">
        <f>ROUND(AW393+AX393,2)</f>
        <v>0</v>
      </c>
      <c r="AW393" s="31">
        <f>ROUND(G393*AO393,2)</f>
        <v>0</v>
      </c>
      <c r="AX393" s="31">
        <f>ROUND(G393*AP393,2)</f>
        <v>0</v>
      </c>
      <c r="AY393" s="34" t="s">
        <v>392</v>
      </c>
      <c r="AZ393" s="34" t="s">
        <v>295</v>
      </c>
      <c r="BA393" s="12" t="s">
        <v>63</v>
      </c>
      <c r="BC393" s="31">
        <f>AW393+AX393</f>
        <v>0</v>
      </c>
      <c r="BD393" s="31">
        <f>H393/(100-BE393)*100</f>
        <v>0</v>
      </c>
      <c r="BE393" s="31">
        <v>0</v>
      </c>
      <c r="BF393" s="31">
        <f>O393</f>
        <v>0</v>
      </c>
      <c r="BH393" s="31">
        <f>G393*AO393</f>
        <v>0</v>
      </c>
      <c r="BI393" s="31">
        <f>G393*AP393</f>
        <v>0</v>
      </c>
      <c r="BJ393" s="31">
        <f>G393*H393</f>
        <v>0</v>
      </c>
      <c r="BK393" s="34" t="s">
        <v>203</v>
      </c>
      <c r="BL393" s="31"/>
      <c r="BW393" s="31">
        <f>I393</f>
        <v>21</v>
      </c>
      <c r="BX393" s="4" t="s">
        <v>1177</v>
      </c>
    </row>
    <row r="394" spans="1:76" x14ac:dyDescent="0.25">
      <c r="A394" s="2">
        <f>A393+1</f>
        <v>142</v>
      </c>
      <c r="B394" s="3" t="s">
        <v>53</v>
      </c>
      <c r="C394" s="3" t="s">
        <v>493</v>
      </c>
      <c r="D394" s="310" t="s">
        <v>494</v>
      </c>
      <c r="E394" s="307"/>
      <c r="F394" s="3" t="s">
        <v>134</v>
      </c>
      <c r="G394" s="31">
        <v>16</v>
      </c>
      <c r="H394" s="31">
        <v>0</v>
      </c>
      <c r="I394" s="32">
        <v>21</v>
      </c>
      <c r="J394" s="31">
        <f>ROUND(G394*AO394,2)</f>
        <v>0</v>
      </c>
      <c r="K394" s="31">
        <f>ROUND(G394*AP394,2)</f>
        <v>0</v>
      </c>
      <c r="L394" s="31">
        <f>ROUND(G394*H394,2)</f>
        <v>0</v>
      </c>
      <c r="M394" s="31">
        <f>L394*(1+BW394/100)</f>
        <v>0</v>
      </c>
      <c r="N394" s="31">
        <v>0</v>
      </c>
      <c r="O394" s="31">
        <f>G394*N394</f>
        <v>0</v>
      </c>
      <c r="P394" s="33" t="s">
        <v>60</v>
      </c>
      <c r="Z394" s="31">
        <f>ROUND(IF(AQ394="5",BJ394,0),2)</f>
        <v>0</v>
      </c>
      <c r="AB394" s="31">
        <f>ROUND(IF(AQ394="1",BH394,0),2)</f>
        <v>0</v>
      </c>
      <c r="AC394" s="31">
        <f>ROUND(IF(AQ394="1",BI394,0),2)</f>
        <v>0</v>
      </c>
      <c r="AD394" s="31">
        <f>ROUND(IF(AQ394="7",BH394,0),2)</f>
        <v>0</v>
      </c>
      <c r="AE394" s="31">
        <f>ROUND(IF(AQ394="7",BI394,0),2)</f>
        <v>0</v>
      </c>
      <c r="AF394" s="31">
        <f>ROUND(IF(AQ394="2",BH394,0),2)</f>
        <v>0</v>
      </c>
      <c r="AG394" s="31">
        <f>ROUND(IF(AQ394="2",BI394,0),2)</f>
        <v>0</v>
      </c>
      <c r="AH394" s="31">
        <f>ROUND(IF(AQ394="0",BJ394,0),2)</f>
        <v>0</v>
      </c>
      <c r="AI394" s="12" t="s">
        <v>53</v>
      </c>
      <c r="AJ394" s="31">
        <f>IF(AN394=0,L394,0)</f>
        <v>0</v>
      </c>
      <c r="AK394" s="31">
        <f>IF(AN394=12,L394,0)</f>
        <v>0</v>
      </c>
      <c r="AL394" s="31">
        <f>IF(AN394=21,L394,0)</f>
        <v>0</v>
      </c>
      <c r="AN394" s="31">
        <v>21</v>
      </c>
      <c r="AO394" s="31">
        <f>H394*0</f>
        <v>0</v>
      </c>
      <c r="AP394" s="31">
        <f>H394*(1-0)</f>
        <v>0</v>
      </c>
      <c r="AQ394" s="34" t="s">
        <v>68</v>
      </c>
      <c r="AV394" s="31">
        <f>ROUND(AW394+AX394,2)</f>
        <v>0</v>
      </c>
      <c r="AW394" s="31">
        <f>ROUND(G394*AO394,2)</f>
        <v>0</v>
      </c>
      <c r="AX394" s="31">
        <f>ROUND(G394*AP394,2)</f>
        <v>0</v>
      </c>
      <c r="AY394" s="34" t="s">
        <v>392</v>
      </c>
      <c r="AZ394" s="34" t="s">
        <v>295</v>
      </c>
      <c r="BA394" s="12" t="s">
        <v>63</v>
      </c>
      <c r="BC394" s="31">
        <f>AW394+AX394</f>
        <v>0</v>
      </c>
      <c r="BD394" s="31">
        <f>H394/(100-BE394)*100</f>
        <v>0</v>
      </c>
      <c r="BE394" s="31">
        <v>0</v>
      </c>
      <c r="BF394" s="31">
        <f>O394</f>
        <v>0</v>
      </c>
      <c r="BH394" s="31">
        <f>G394*AO394</f>
        <v>0</v>
      </c>
      <c r="BI394" s="31">
        <f>G394*AP394</f>
        <v>0</v>
      </c>
      <c r="BJ394" s="31">
        <f>G394*H394</f>
        <v>0</v>
      </c>
      <c r="BK394" s="34" t="s">
        <v>64</v>
      </c>
      <c r="BL394" s="31"/>
      <c r="BW394" s="31">
        <f>I394</f>
        <v>21</v>
      </c>
      <c r="BX394" s="4" t="s">
        <v>494</v>
      </c>
    </row>
    <row r="395" spans="1:76" x14ac:dyDescent="0.25">
      <c r="A395" s="35"/>
      <c r="D395" s="95" t="s">
        <v>628</v>
      </c>
      <c r="E395" s="36" t="s">
        <v>53</v>
      </c>
      <c r="G395" s="37">
        <v>4</v>
      </c>
      <c r="P395" s="38"/>
      <c r="BX395" t="s">
        <v>628</v>
      </c>
    </row>
    <row r="396" spans="1:76" x14ac:dyDescent="0.25">
      <c r="A396" s="35"/>
      <c r="D396" s="87" t="s">
        <v>495</v>
      </c>
      <c r="E396" s="36" t="s">
        <v>53</v>
      </c>
      <c r="G396" s="37">
        <v>16</v>
      </c>
      <c r="P396" s="38"/>
      <c r="BX396" t="s">
        <v>495</v>
      </c>
    </row>
    <row r="397" spans="1:76" x14ac:dyDescent="0.25">
      <c r="A397" s="2">
        <f>A394+1</f>
        <v>143</v>
      </c>
      <c r="B397" s="3" t="s">
        <v>53</v>
      </c>
      <c r="C397" s="3" t="s">
        <v>496</v>
      </c>
      <c r="D397" s="310" t="s">
        <v>884</v>
      </c>
      <c r="E397" s="307"/>
      <c r="F397" s="3" t="s">
        <v>250</v>
      </c>
      <c r="G397" s="31">
        <v>6683.6</v>
      </c>
      <c r="H397" s="31">
        <v>0</v>
      </c>
      <c r="I397" s="32">
        <v>21</v>
      </c>
      <c r="J397" s="31">
        <f>ROUND(G397*AO397,2)</f>
        <v>0</v>
      </c>
      <c r="K397" s="31">
        <f>ROUND(G397*AP397,2)</f>
        <v>0</v>
      </c>
      <c r="L397" s="31">
        <f>ROUND(G397*H397,2)</f>
        <v>0</v>
      </c>
      <c r="M397" s="31">
        <f>L397*(1+BW397/100)</f>
        <v>0</v>
      </c>
      <c r="N397" s="31">
        <v>0</v>
      </c>
      <c r="O397" s="31">
        <f>G397*N397</f>
        <v>0</v>
      </c>
      <c r="P397" s="33" t="s">
        <v>60</v>
      </c>
      <c r="Z397" s="31">
        <f>ROUND(IF(AQ397="5",BJ397,0),2)</f>
        <v>0</v>
      </c>
      <c r="AB397" s="31">
        <f>ROUND(IF(AQ397="1",BH397,0),2)</f>
        <v>0</v>
      </c>
      <c r="AC397" s="31">
        <f>ROUND(IF(AQ397="1",BI397,0),2)</f>
        <v>0</v>
      </c>
      <c r="AD397" s="31">
        <f>ROUND(IF(AQ397="7",BH397,0),2)</f>
        <v>0</v>
      </c>
      <c r="AE397" s="31">
        <f>ROUND(IF(AQ397="7",BI397,0),2)</f>
        <v>0</v>
      </c>
      <c r="AF397" s="31">
        <f>ROUND(IF(AQ397="2",BH397,0),2)</f>
        <v>0</v>
      </c>
      <c r="AG397" s="31">
        <f>ROUND(IF(AQ397="2",BI397,0),2)</f>
        <v>0</v>
      </c>
      <c r="AH397" s="31">
        <f>ROUND(IF(AQ397="0",BJ397,0),2)</f>
        <v>0</v>
      </c>
      <c r="AI397" s="12" t="s">
        <v>53</v>
      </c>
      <c r="AJ397" s="31">
        <f>IF(AN397=0,L397,0)</f>
        <v>0</v>
      </c>
      <c r="AK397" s="31">
        <f>IF(AN397=12,L397,0)</f>
        <v>0</v>
      </c>
      <c r="AL397" s="31">
        <f>IF(AN397=21,L397,0)</f>
        <v>0</v>
      </c>
      <c r="AN397" s="31">
        <v>21</v>
      </c>
      <c r="AO397" s="31">
        <f>H397*0</f>
        <v>0</v>
      </c>
      <c r="AP397" s="31">
        <f>H397*(1-0)</f>
        <v>0</v>
      </c>
      <c r="AQ397" s="34" t="s">
        <v>68</v>
      </c>
      <c r="AV397" s="31">
        <f>ROUND(AW397+AX397,2)</f>
        <v>0</v>
      </c>
      <c r="AW397" s="31">
        <f>ROUND(G397*AO397,2)</f>
        <v>0</v>
      </c>
      <c r="AX397" s="31">
        <f>ROUND(G397*AP397,2)</f>
        <v>0</v>
      </c>
      <c r="AY397" s="34" t="s">
        <v>392</v>
      </c>
      <c r="AZ397" s="34" t="s">
        <v>295</v>
      </c>
      <c r="BA397" s="12" t="s">
        <v>63</v>
      </c>
      <c r="BC397" s="31">
        <f>AW397+AX397</f>
        <v>0</v>
      </c>
      <c r="BD397" s="31">
        <f>H397/(100-BE397)*100</f>
        <v>0</v>
      </c>
      <c r="BE397" s="31">
        <v>0</v>
      </c>
      <c r="BF397" s="31">
        <f>O397</f>
        <v>0</v>
      </c>
      <c r="BH397" s="31">
        <f>G397*AO397</f>
        <v>0</v>
      </c>
      <c r="BI397" s="31">
        <f>G397*AP397</f>
        <v>0</v>
      </c>
      <c r="BJ397" s="31">
        <f>G397*H397</f>
        <v>0</v>
      </c>
      <c r="BK397" s="34" t="s">
        <v>64</v>
      </c>
      <c r="BL397" s="31"/>
      <c r="BW397" s="31">
        <f>I397</f>
        <v>21</v>
      </c>
      <c r="BX397" s="4" t="s">
        <v>884</v>
      </c>
    </row>
    <row r="398" spans="1:76" x14ac:dyDescent="0.25">
      <c r="A398" s="35"/>
      <c r="D398" s="87" t="s">
        <v>875</v>
      </c>
      <c r="E398" s="36" t="s">
        <v>53</v>
      </c>
      <c r="G398" s="37">
        <v>3571.2000000000003</v>
      </c>
      <c r="P398" s="38"/>
      <c r="BX398" t="s">
        <v>875</v>
      </c>
    </row>
    <row r="399" spans="1:76" x14ac:dyDescent="0.25">
      <c r="A399" s="35"/>
      <c r="D399" s="87" t="s">
        <v>876</v>
      </c>
      <c r="E399" s="36" t="s">
        <v>53</v>
      </c>
      <c r="G399" s="37">
        <v>978.19999999999993</v>
      </c>
      <c r="P399" s="38"/>
      <c r="BX399" t="s">
        <v>876</v>
      </c>
    </row>
    <row r="400" spans="1:76" x14ac:dyDescent="0.25">
      <c r="A400" s="35"/>
      <c r="D400" s="87" t="s">
        <v>877</v>
      </c>
      <c r="E400" s="36" t="s">
        <v>53</v>
      </c>
      <c r="G400" s="37">
        <v>110</v>
      </c>
      <c r="P400" s="38"/>
      <c r="BX400" t="s">
        <v>877</v>
      </c>
    </row>
    <row r="401" spans="1:76" x14ac:dyDescent="0.25">
      <c r="A401" s="35"/>
      <c r="D401" s="87" t="s">
        <v>880</v>
      </c>
      <c r="E401" s="36" t="s">
        <v>53</v>
      </c>
      <c r="G401" s="37">
        <v>1075.2</v>
      </c>
      <c r="P401" s="38"/>
      <c r="BX401" t="s">
        <v>880</v>
      </c>
    </row>
    <row r="402" spans="1:76" x14ac:dyDescent="0.25">
      <c r="A402" s="35"/>
      <c r="D402" s="87" t="s">
        <v>881</v>
      </c>
      <c r="E402" s="36" t="s">
        <v>53</v>
      </c>
      <c r="G402" s="37">
        <v>276</v>
      </c>
      <c r="P402" s="38"/>
      <c r="BX402" t="s">
        <v>881</v>
      </c>
    </row>
    <row r="403" spans="1:76" x14ac:dyDescent="0.25">
      <c r="A403" s="35"/>
      <c r="D403" s="87" t="s">
        <v>882</v>
      </c>
      <c r="E403" s="36" t="s">
        <v>53</v>
      </c>
      <c r="G403" s="37">
        <v>26</v>
      </c>
      <c r="P403" s="38"/>
      <c r="BX403" t="s">
        <v>882</v>
      </c>
    </row>
    <row r="404" spans="1:76" x14ac:dyDescent="0.25">
      <c r="A404" s="35"/>
      <c r="D404" s="87" t="s">
        <v>883</v>
      </c>
      <c r="E404" s="36" t="s">
        <v>53</v>
      </c>
      <c r="G404" s="37">
        <v>266</v>
      </c>
      <c r="P404" s="38"/>
      <c r="BX404" t="s">
        <v>883</v>
      </c>
    </row>
    <row r="405" spans="1:76" x14ac:dyDescent="0.25">
      <c r="A405" s="35"/>
      <c r="D405" s="87" t="s">
        <v>878</v>
      </c>
      <c r="E405" s="36" t="s">
        <v>53</v>
      </c>
      <c r="G405" s="37">
        <v>216</v>
      </c>
      <c r="P405" s="38"/>
      <c r="BX405" t="s">
        <v>878</v>
      </c>
    </row>
    <row r="406" spans="1:76" x14ac:dyDescent="0.25">
      <c r="A406" s="35"/>
      <c r="D406" s="87" t="s">
        <v>879</v>
      </c>
      <c r="E406" s="36" t="s">
        <v>53</v>
      </c>
      <c r="G406" s="37">
        <v>87</v>
      </c>
      <c r="P406" s="38"/>
      <c r="BX406" t="s">
        <v>879</v>
      </c>
    </row>
    <row r="407" spans="1:76" x14ac:dyDescent="0.25">
      <c r="A407" s="35"/>
      <c r="D407" s="95" t="s">
        <v>650</v>
      </c>
      <c r="E407" s="36" t="s">
        <v>53</v>
      </c>
      <c r="G407" s="37">
        <v>70.2</v>
      </c>
      <c r="P407" s="38"/>
      <c r="BX407" t="s">
        <v>650</v>
      </c>
    </row>
    <row r="408" spans="1:76" x14ac:dyDescent="0.25">
      <c r="A408" s="35"/>
      <c r="D408" s="87" t="s">
        <v>649</v>
      </c>
      <c r="E408" s="36" t="s">
        <v>53</v>
      </c>
      <c r="G408" s="37">
        <v>7.8</v>
      </c>
      <c r="P408" s="38"/>
      <c r="BX408" t="s">
        <v>649</v>
      </c>
    </row>
    <row r="409" spans="1:76" ht="39.75" customHeight="1" x14ac:dyDescent="0.25">
      <c r="A409" s="2">
        <f>A397+1</f>
        <v>144</v>
      </c>
      <c r="B409" s="3" t="s">
        <v>53</v>
      </c>
      <c r="C409" s="3" t="s">
        <v>497</v>
      </c>
      <c r="D409" s="390" t="s">
        <v>611</v>
      </c>
      <c r="E409" s="307"/>
      <c r="F409" s="3" t="s">
        <v>134</v>
      </c>
      <c r="G409" s="31">
        <v>10</v>
      </c>
      <c r="H409" s="31">
        <v>0</v>
      </c>
      <c r="I409" s="32">
        <v>21</v>
      </c>
      <c r="J409" s="31">
        <f>ROUND(G409*AO409,2)</f>
        <v>0</v>
      </c>
      <c r="K409" s="31">
        <f>ROUND(G409*AP409,2)</f>
        <v>0</v>
      </c>
      <c r="L409" s="31">
        <f>ROUND(G409*H409,2)</f>
        <v>0</v>
      </c>
      <c r="M409" s="31">
        <f>L409*(1+BW409/100)</f>
        <v>0</v>
      </c>
      <c r="N409" s="31">
        <v>4.3999999999999997E-2</v>
      </c>
      <c r="O409" s="31">
        <f>G409*N409</f>
        <v>0.43999999999999995</v>
      </c>
      <c r="P409" s="33" t="s">
        <v>53</v>
      </c>
      <c r="Z409" s="31">
        <f>ROUND(IF(AQ409="5",BJ409,0),2)</f>
        <v>0</v>
      </c>
      <c r="AB409" s="31">
        <f>ROUND(IF(AQ409="1",BH409,0),2)</f>
        <v>0</v>
      </c>
      <c r="AC409" s="31">
        <f>ROUND(IF(AQ409="1",BI409,0),2)</f>
        <v>0</v>
      </c>
      <c r="AD409" s="31">
        <f>ROUND(IF(AQ409="7",BH409,0),2)</f>
        <v>0</v>
      </c>
      <c r="AE409" s="31">
        <f>ROUND(IF(AQ409="7",BI409,0),2)</f>
        <v>0</v>
      </c>
      <c r="AF409" s="31">
        <f>ROUND(IF(AQ409="2",BH409,0),2)</f>
        <v>0</v>
      </c>
      <c r="AG409" s="31">
        <f>ROUND(IF(AQ409="2",BI409,0),2)</f>
        <v>0</v>
      </c>
      <c r="AH409" s="31">
        <f>ROUND(IF(AQ409="0",BJ409,0),2)</f>
        <v>0</v>
      </c>
      <c r="AI409" s="12" t="s">
        <v>53</v>
      </c>
      <c r="AJ409" s="31">
        <f>IF(AN409=0,L409,0)</f>
        <v>0</v>
      </c>
      <c r="AK409" s="31">
        <f>IF(AN409=12,L409,0)</f>
        <v>0</v>
      </c>
      <c r="AL409" s="31">
        <f>IF(AN409=21,L409,0)</f>
        <v>0</v>
      </c>
      <c r="AN409" s="31">
        <v>21</v>
      </c>
      <c r="AO409" s="31">
        <f>H409*1</f>
        <v>0</v>
      </c>
      <c r="AP409" s="31">
        <f>H409*(1-1)</f>
        <v>0</v>
      </c>
      <c r="AQ409" s="34" t="s">
        <v>56</v>
      </c>
      <c r="AV409" s="31">
        <f>ROUND(AW409+AX409,2)</f>
        <v>0</v>
      </c>
      <c r="AW409" s="31">
        <f>ROUND(G409*AO409,2)</f>
        <v>0</v>
      </c>
      <c r="AX409" s="31">
        <f>ROUND(G409*AP409,2)</f>
        <v>0</v>
      </c>
      <c r="AY409" s="34" t="s">
        <v>392</v>
      </c>
      <c r="AZ409" s="34" t="s">
        <v>295</v>
      </c>
      <c r="BA409" s="12" t="s">
        <v>63</v>
      </c>
      <c r="BC409" s="31">
        <f>AW409+AX409</f>
        <v>0</v>
      </c>
      <c r="BD409" s="31">
        <f>H409/(100-BE409)*100</f>
        <v>0</v>
      </c>
      <c r="BE409" s="31">
        <v>0</v>
      </c>
      <c r="BF409" s="31">
        <f>O409</f>
        <v>0.43999999999999995</v>
      </c>
      <c r="BH409" s="31">
        <f>G409*AO409</f>
        <v>0</v>
      </c>
      <c r="BI409" s="31">
        <f>G409*AP409</f>
        <v>0</v>
      </c>
      <c r="BJ409" s="31">
        <f>G409*H409</f>
        <v>0</v>
      </c>
      <c r="BK409" s="34" t="s">
        <v>203</v>
      </c>
      <c r="BL409" s="31"/>
      <c r="BW409" s="31">
        <f>I409</f>
        <v>21</v>
      </c>
      <c r="BX409" s="4" t="s">
        <v>611</v>
      </c>
    </row>
    <row r="410" spans="1:76" x14ac:dyDescent="0.25">
      <c r="A410" s="35"/>
      <c r="D410" s="87" t="s">
        <v>498</v>
      </c>
      <c r="E410" s="36" t="s">
        <v>53</v>
      </c>
      <c r="G410" s="37">
        <v>10</v>
      </c>
      <c r="P410" s="38"/>
      <c r="BX410" t="s">
        <v>498</v>
      </c>
    </row>
    <row r="411" spans="1:76" ht="43.5" customHeight="1" x14ac:dyDescent="0.25">
      <c r="A411" s="2">
        <f>A409+1</f>
        <v>145</v>
      </c>
      <c r="B411" s="3" t="s">
        <v>53</v>
      </c>
      <c r="C411" s="3" t="s">
        <v>499</v>
      </c>
      <c r="D411" s="390" t="s">
        <v>612</v>
      </c>
      <c r="E411" s="307"/>
      <c r="F411" s="3" t="s">
        <v>134</v>
      </c>
      <c r="G411" s="31">
        <v>67</v>
      </c>
      <c r="H411" s="31">
        <v>0</v>
      </c>
      <c r="I411" s="32">
        <v>21</v>
      </c>
      <c r="J411" s="31">
        <f>ROUND(G411*AO411,2)</f>
        <v>0</v>
      </c>
      <c r="K411" s="31">
        <f>ROUND(G411*AP411,2)</f>
        <v>0</v>
      </c>
      <c r="L411" s="31">
        <f>ROUND(G411*H411,2)</f>
        <v>0</v>
      </c>
      <c r="M411" s="31">
        <f>L411*(1+BW411/100)</f>
        <v>0</v>
      </c>
      <c r="N411" s="31">
        <v>4.58E-2</v>
      </c>
      <c r="O411" s="31">
        <f>G411*N411</f>
        <v>3.0686</v>
      </c>
      <c r="P411" s="33" t="s">
        <v>53</v>
      </c>
      <c r="Z411" s="31">
        <f>ROUND(IF(AQ411="5",BJ411,0),2)</f>
        <v>0</v>
      </c>
      <c r="AB411" s="31">
        <f>ROUND(IF(AQ411="1",BH411,0),2)</f>
        <v>0</v>
      </c>
      <c r="AC411" s="31">
        <f>ROUND(IF(AQ411="1",BI411,0),2)</f>
        <v>0</v>
      </c>
      <c r="AD411" s="31">
        <f>ROUND(IF(AQ411="7",BH411,0),2)</f>
        <v>0</v>
      </c>
      <c r="AE411" s="31">
        <f>ROUND(IF(AQ411="7",BI411,0),2)</f>
        <v>0</v>
      </c>
      <c r="AF411" s="31">
        <f>ROUND(IF(AQ411="2",BH411,0),2)</f>
        <v>0</v>
      </c>
      <c r="AG411" s="31">
        <f>ROUND(IF(AQ411="2",BI411,0),2)</f>
        <v>0</v>
      </c>
      <c r="AH411" s="31">
        <f>ROUND(IF(AQ411="0",BJ411,0),2)</f>
        <v>0</v>
      </c>
      <c r="AI411" s="12" t="s">
        <v>53</v>
      </c>
      <c r="AJ411" s="31">
        <f>IF(AN411=0,L411,0)</f>
        <v>0</v>
      </c>
      <c r="AK411" s="31">
        <f>IF(AN411=12,L411,0)</f>
        <v>0</v>
      </c>
      <c r="AL411" s="31">
        <f>IF(AN411=21,L411,0)</f>
        <v>0</v>
      </c>
      <c r="AN411" s="31">
        <v>21</v>
      </c>
      <c r="AO411" s="31">
        <f>H411*1</f>
        <v>0</v>
      </c>
      <c r="AP411" s="31">
        <f>H411*(1-1)</f>
        <v>0</v>
      </c>
      <c r="AQ411" s="34" t="s">
        <v>56</v>
      </c>
      <c r="AV411" s="31">
        <f>ROUND(AW411+AX411,2)</f>
        <v>0</v>
      </c>
      <c r="AW411" s="31">
        <f>ROUND(G411*AO411,2)</f>
        <v>0</v>
      </c>
      <c r="AX411" s="31">
        <f>ROUND(G411*AP411,2)</f>
        <v>0</v>
      </c>
      <c r="AY411" s="34" t="s">
        <v>392</v>
      </c>
      <c r="AZ411" s="34" t="s">
        <v>295</v>
      </c>
      <c r="BA411" s="12" t="s">
        <v>63</v>
      </c>
      <c r="BC411" s="31">
        <f>AW411+AX411</f>
        <v>0</v>
      </c>
      <c r="BD411" s="31">
        <f>H411/(100-BE411)*100</f>
        <v>0</v>
      </c>
      <c r="BE411" s="31">
        <v>0</v>
      </c>
      <c r="BF411" s="31">
        <f>O411</f>
        <v>3.0686</v>
      </c>
      <c r="BH411" s="31">
        <f>G411*AO411</f>
        <v>0</v>
      </c>
      <c r="BI411" s="31">
        <f>G411*AP411</f>
        <v>0</v>
      </c>
      <c r="BJ411" s="31">
        <f>G411*H411</f>
        <v>0</v>
      </c>
      <c r="BK411" s="34" t="s">
        <v>203</v>
      </c>
      <c r="BL411" s="31"/>
      <c r="BW411" s="31">
        <f>I411</f>
        <v>21</v>
      </c>
      <c r="BX411" s="4" t="s">
        <v>612</v>
      </c>
    </row>
    <row r="412" spans="1:76" x14ac:dyDescent="0.25">
      <c r="A412" s="35"/>
      <c r="D412" s="87" t="s">
        <v>820</v>
      </c>
      <c r="E412" s="36" t="s">
        <v>53</v>
      </c>
      <c r="G412" s="37">
        <v>67</v>
      </c>
      <c r="P412" s="38"/>
      <c r="BX412" t="s">
        <v>820</v>
      </c>
    </row>
    <row r="413" spans="1:76" ht="39" customHeight="1" x14ac:dyDescent="0.25">
      <c r="A413" s="2">
        <f>A411+1</f>
        <v>146</v>
      </c>
      <c r="B413" s="3" t="s">
        <v>53</v>
      </c>
      <c r="C413" s="3" t="s">
        <v>500</v>
      </c>
      <c r="D413" s="390" t="s">
        <v>619</v>
      </c>
      <c r="E413" s="307"/>
      <c r="F413" s="3" t="s">
        <v>134</v>
      </c>
      <c r="G413" s="31">
        <v>144</v>
      </c>
      <c r="H413" s="31">
        <v>0</v>
      </c>
      <c r="I413" s="32">
        <v>21</v>
      </c>
      <c r="J413" s="31">
        <f>ROUND(G413*AO413,2)</f>
        <v>0</v>
      </c>
      <c r="K413" s="31">
        <f>ROUND(G413*AP413,2)</f>
        <v>0</v>
      </c>
      <c r="L413" s="31">
        <f>ROUND(G413*H413,2)</f>
        <v>0</v>
      </c>
      <c r="M413" s="31">
        <f>L413*(1+BW413/100)</f>
        <v>0</v>
      </c>
      <c r="N413" s="31">
        <v>0.05</v>
      </c>
      <c r="O413" s="31">
        <f>G413*N413</f>
        <v>7.2</v>
      </c>
      <c r="P413" s="33" t="s">
        <v>53</v>
      </c>
      <c r="Z413" s="31">
        <f>ROUND(IF(AQ413="5",BJ413,0),2)</f>
        <v>0</v>
      </c>
      <c r="AB413" s="31">
        <f>ROUND(IF(AQ413="1",BH413,0),2)</f>
        <v>0</v>
      </c>
      <c r="AC413" s="31">
        <f>ROUND(IF(AQ413="1",BI413,0),2)</f>
        <v>0</v>
      </c>
      <c r="AD413" s="31">
        <f>ROUND(IF(AQ413="7",BH413,0),2)</f>
        <v>0</v>
      </c>
      <c r="AE413" s="31">
        <f>ROUND(IF(AQ413="7",BI413,0),2)</f>
        <v>0</v>
      </c>
      <c r="AF413" s="31">
        <f>ROUND(IF(AQ413="2",BH413,0),2)</f>
        <v>0</v>
      </c>
      <c r="AG413" s="31">
        <f>ROUND(IF(AQ413="2",BI413,0),2)</f>
        <v>0</v>
      </c>
      <c r="AH413" s="31">
        <f>ROUND(IF(AQ413="0",BJ413,0),2)</f>
        <v>0</v>
      </c>
      <c r="AI413" s="12" t="s">
        <v>53</v>
      </c>
      <c r="AJ413" s="31">
        <f>IF(AN413=0,L413,0)</f>
        <v>0</v>
      </c>
      <c r="AK413" s="31">
        <f>IF(AN413=12,L413,0)</f>
        <v>0</v>
      </c>
      <c r="AL413" s="31">
        <f>IF(AN413=21,L413,0)</f>
        <v>0</v>
      </c>
      <c r="AN413" s="31">
        <v>21</v>
      </c>
      <c r="AO413" s="31">
        <f>H413*1</f>
        <v>0</v>
      </c>
      <c r="AP413" s="31">
        <f>H413*(1-1)</f>
        <v>0</v>
      </c>
      <c r="AQ413" s="34" t="s">
        <v>56</v>
      </c>
      <c r="AV413" s="31">
        <f>ROUND(AW413+AX413,2)</f>
        <v>0</v>
      </c>
      <c r="AW413" s="31">
        <f>ROUND(G413*AO413,2)</f>
        <v>0</v>
      </c>
      <c r="AX413" s="31">
        <f>ROUND(G413*AP413,2)</f>
        <v>0</v>
      </c>
      <c r="AY413" s="34" t="s">
        <v>392</v>
      </c>
      <c r="AZ413" s="34" t="s">
        <v>295</v>
      </c>
      <c r="BA413" s="12" t="s">
        <v>63</v>
      </c>
      <c r="BC413" s="31">
        <f>AW413+AX413</f>
        <v>0</v>
      </c>
      <c r="BD413" s="31">
        <f>H413/(100-BE413)*100</f>
        <v>0</v>
      </c>
      <c r="BE413" s="31">
        <v>0</v>
      </c>
      <c r="BF413" s="31">
        <f>O413</f>
        <v>7.2</v>
      </c>
      <c r="BH413" s="31">
        <f>G413*AO413</f>
        <v>0</v>
      </c>
      <c r="BI413" s="31">
        <f>G413*AP413</f>
        <v>0</v>
      </c>
      <c r="BJ413" s="31">
        <f>G413*H413</f>
        <v>0</v>
      </c>
      <c r="BK413" s="34" t="s">
        <v>203</v>
      </c>
      <c r="BL413" s="31"/>
      <c r="BW413" s="31">
        <f>I413</f>
        <v>21</v>
      </c>
      <c r="BX413" s="4" t="s">
        <v>619</v>
      </c>
    </row>
    <row r="414" spans="1:76" x14ac:dyDescent="0.25">
      <c r="A414" s="35"/>
      <c r="D414" s="87" t="s">
        <v>821</v>
      </c>
      <c r="E414" s="36" t="s">
        <v>53</v>
      </c>
      <c r="G414" s="37">
        <v>144</v>
      </c>
      <c r="P414" s="38"/>
      <c r="BX414" t="s">
        <v>821</v>
      </c>
    </row>
    <row r="415" spans="1:76" ht="25.5" x14ac:dyDescent="0.25">
      <c r="A415" s="2">
        <f>A413+1</f>
        <v>147</v>
      </c>
      <c r="B415" s="3" t="s">
        <v>53</v>
      </c>
      <c r="C415" s="3" t="s">
        <v>501</v>
      </c>
      <c r="D415" s="310" t="s">
        <v>502</v>
      </c>
      <c r="E415" s="307"/>
      <c r="F415" s="3" t="s">
        <v>134</v>
      </c>
      <c r="G415" s="31">
        <v>1</v>
      </c>
      <c r="H415" s="31">
        <v>0</v>
      </c>
      <c r="I415" s="32">
        <v>21</v>
      </c>
      <c r="J415" s="31">
        <f>ROUND(G415*AO415,2)</f>
        <v>0</v>
      </c>
      <c r="K415" s="31">
        <f>ROUND(G415*AP415,2)</f>
        <v>0</v>
      </c>
      <c r="L415" s="31">
        <f>ROUND(G415*H415,2)</f>
        <v>0</v>
      </c>
      <c r="M415" s="31">
        <f>L415*(1+BW415/100)</f>
        <v>0</v>
      </c>
      <c r="N415" s="31">
        <v>7.7999999999999996E-3</v>
      </c>
      <c r="O415" s="31">
        <f>G415*N415</f>
        <v>7.7999999999999996E-3</v>
      </c>
      <c r="P415" s="33" t="s">
        <v>53</v>
      </c>
      <c r="Z415" s="31">
        <f>ROUND(IF(AQ415="5",BJ415,0),2)</f>
        <v>0</v>
      </c>
      <c r="AB415" s="31">
        <f>ROUND(IF(AQ415="1",BH415,0),2)</f>
        <v>0</v>
      </c>
      <c r="AC415" s="31">
        <f>ROUND(IF(AQ415="1",BI415,0),2)</f>
        <v>0</v>
      </c>
      <c r="AD415" s="31">
        <f>ROUND(IF(AQ415="7",BH415,0),2)</f>
        <v>0</v>
      </c>
      <c r="AE415" s="31">
        <f>ROUND(IF(AQ415="7",BI415,0),2)</f>
        <v>0</v>
      </c>
      <c r="AF415" s="31">
        <f>ROUND(IF(AQ415="2",BH415,0),2)</f>
        <v>0</v>
      </c>
      <c r="AG415" s="31">
        <f>ROUND(IF(AQ415="2",BI415,0),2)</f>
        <v>0</v>
      </c>
      <c r="AH415" s="31">
        <f>ROUND(IF(AQ415="0",BJ415,0),2)</f>
        <v>0</v>
      </c>
      <c r="AI415" s="12" t="s">
        <v>53</v>
      </c>
      <c r="AJ415" s="31">
        <f>IF(AN415=0,L415,0)</f>
        <v>0</v>
      </c>
      <c r="AK415" s="31">
        <f>IF(AN415=12,L415,0)</f>
        <v>0</v>
      </c>
      <c r="AL415" s="31">
        <f>IF(AN415=21,L415,0)</f>
        <v>0</v>
      </c>
      <c r="AN415" s="31">
        <v>21</v>
      </c>
      <c r="AO415" s="31">
        <f>H415*1</f>
        <v>0</v>
      </c>
      <c r="AP415" s="31">
        <f>H415*(1-1)</f>
        <v>0</v>
      </c>
      <c r="AQ415" s="34" t="s">
        <v>56</v>
      </c>
      <c r="AV415" s="31">
        <f>ROUND(AW415+AX415,2)</f>
        <v>0</v>
      </c>
      <c r="AW415" s="31">
        <f>ROUND(G415*AO415,2)</f>
        <v>0</v>
      </c>
      <c r="AX415" s="31">
        <f>ROUND(G415*AP415,2)</f>
        <v>0</v>
      </c>
      <c r="AY415" s="34" t="s">
        <v>392</v>
      </c>
      <c r="AZ415" s="34" t="s">
        <v>295</v>
      </c>
      <c r="BA415" s="12" t="s">
        <v>63</v>
      </c>
      <c r="BC415" s="31">
        <f>AW415+AX415</f>
        <v>0</v>
      </c>
      <c r="BD415" s="31">
        <f>H415/(100-BE415)*100</f>
        <v>0</v>
      </c>
      <c r="BE415" s="31">
        <v>0</v>
      </c>
      <c r="BF415" s="31">
        <f>O415</f>
        <v>7.7999999999999996E-3</v>
      </c>
      <c r="BH415" s="31">
        <f>G415*AO415</f>
        <v>0</v>
      </c>
      <c r="BI415" s="31">
        <f>G415*AP415</f>
        <v>0</v>
      </c>
      <c r="BJ415" s="31">
        <f>G415*H415</f>
        <v>0</v>
      </c>
      <c r="BK415" s="34" t="s">
        <v>203</v>
      </c>
      <c r="BL415" s="31"/>
      <c r="BW415" s="31">
        <f>I415</f>
        <v>21</v>
      </c>
      <c r="BX415" s="4" t="s">
        <v>502</v>
      </c>
    </row>
    <row r="416" spans="1:76" x14ac:dyDescent="0.25">
      <c r="A416" s="35"/>
      <c r="D416" s="87" t="s">
        <v>503</v>
      </c>
      <c r="E416" s="36" t="s">
        <v>53</v>
      </c>
      <c r="G416" s="37">
        <v>1</v>
      </c>
      <c r="P416" s="38"/>
      <c r="BX416" t="s">
        <v>503</v>
      </c>
    </row>
    <row r="417" spans="1:76" ht="25.5" x14ac:dyDescent="0.25">
      <c r="A417" s="2">
        <f>A415+1</f>
        <v>148</v>
      </c>
      <c r="B417" s="3" t="s">
        <v>53</v>
      </c>
      <c r="C417" s="3" t="s">
        <v>504</v>
      </c>
      <c r="D417" s="310" t="s">
        <v>505</v>
      </c>
      <c r="E417" s="307"/>
      <c r="F417" s="3" t="s">
        <v>134</v>
      </c>
      <c r="G417" s="31">
        <v>9</v>
      </c>
      <c r="H417" s="31">
        <v>0</v>
      </c>
      <c r="I417" s="32">
        <v>21</v>
      </c>
      <c r="J417" s="31">
        <f>ROUND(G417*AO417,2)</f>
        <v>0</v>
      </c>
      <c r="K417" s="31">
        <f>ROUND(G417*AP417,2)</f>
        <v>0</v>
      </c>
      <c r="L417" s="31">
        <f>ROUND(G417*H417,2)</f>
        <v>0</v>
      </c>
      <c r="M417" s="31">
        <f>L417*(1+BW417/100)</f>
        <v>0</v>
      </c>
      <c r="N417" s="31">
        <v>7.7999999999999996E-3</v>
      </c>
      <c r="O417" s="31">
        <f>G417*N417</f>
        <v>7.0199999999999999E-2</v>
      </c>
      <c r="P417" s="33" t="s">
        <v>53</v>
      </c>
      <c r="Z417" s="31">
        <f>ROUND(IF(AQ417="5",BJ417,0),2)</f>
        <v>0</v>
      </c>
      <c r="AB417" s="31">
        <f>ROUND(IF(AQ417="1",BH417,0),2)</f>
        <v>0</v>
      </c>
      <c r="AC417" s="31">
        <f>ROUND(IF(AQ417="1",BI417,0),2)</f>
        <v>0</v>
      </c>
      <c r="AD417" s="31">
        <f>ROUND(IF(AQ417="7",BH417,0),2)</f>
        <v>0</v>
      </c>
      <c r="AE417" s="31">
        <f>ROUND(IF(AQ417="7",BI417,0),2)</f>
        <v>0</v>
      </c>
      <c r="AF417" s="31">
        <f>ROUND(IF(AQ417="2",BH417,0),2)</f>
        <v>0</v>
      </c>
      <c r="AG417" s="31">
        <f>ROUND(IF(AQ417="2",BI417,0),2)</f>
        <v>0</v>
      </c>
      <c r="AH417" s="31">
        <f>ROUND(IF(AQ417="0",BJ417,0),2)</f>
        <v>0</v>
      </c>
      <c r="AI417" s="12" t="s">
        <v>53</v>
      </c>
      <c r="AJ417" s="31">
        <f>IF(AN417=0,L417,0)</f>
        <v>0</v>
      </c>
      <c r="AK417" s="31">
        <f>IF(AN417=12,L417,0)</f>
        <v>0</v>
      </c>
      <c r="AL417" s="31">
        <f>IF(AN417=21,L417,0)</f>
        <v>0</v>
      </c>
      <c r="AN417" s="31">
        <v>21</v>
      </c>
      <c r="AO417" s="31">
        <f>H417*1</f>
        <v>0</v>
      </c>
      <c r="AP417" s="31">
        <f>H417*(1-1)</f>
        <v>0</v>
      </c>
      <c r="AQ417" s="34" t="s">
        <v>56</v>
      </c>
      <c r="AV417" s="31">
        <f>ROUND(AW417+AX417,2)</f>
        <v>0</v>
      </c>
      <c r="AW417" s="31">
        <f>ROUND(G417*AO417,2)</f>
        <v>0</v>
      </c>
      <c r="AX417" s="31">
        <f>ROUND(G417*AP417,2)</f>
        <v>0</v>
      </c>
      <c r="AY417" s="34" t="s">
        <v>392</v>
      </c>
      <c r="AZ417" s="34" t="s">
        <v>295</v>
      </c>
      <c r="BA417" s="12" t="s">
        <v>63</v>
      </c>
      <c r="BC417" s="31">
        <f>AW417+AX417</f>
        <v>0</v>
      </c>
      <c r="BD417" s="31">
        <f>H417/(100-BE417)*100</f>
        <v>0</v>
      </c>
      <c r="BE417" s="31">
        <v>0</v>
      </c>
      <c r="BF417" s="31">
        <f>O417</f>
        <v>7.0199999999999999E-2</v>
      </c>
      <c r="BH417" s="31">
        <f>G417*AO417</f>
        <v>0</v>
      </c>
      <c r="BI417" s="31">
        <f>G417*AP417</f>
        <v>0</v>
      </c>
      <c r="BJ417" s="31">
        <f>G417*H417</f>
        <v>0</v>
      </c>
      <c r="BK417" s="34" t="s">
        <v>203</v>
      </c>
      <c r="BL417" s="31"/>
      <c r="BW417" s="31">
        <f>I417</f>
        <v>21</v>
      </c>
      <c r="BX417" s="4" t="s">
        <v>505</v>
      </c>
    </row>
    <row r="418" spans="1:76" x14ac:dyDescent="0.25">
      <c r="A418" s="35"/>
      <c r="D418" s="87" t="s">
        <v>506</v>
      </c>
      <c r="E418" s="36" t="s">
        <v>53</v>
      </c>
      <c r="G418" s="37">
        <v>9</v>
      </c>
      <c r="P418" s="38"/>
      <c r="BX418" t="s">
        <v>506</v>
      </c>
    </row>
    <row r="419" spans="1:76" ht="25.5" x14ac:dyDescent="0.25">
      <c r="A419" s="2">
        <f>A417+1</f>
        <v>149</v>
      </c>
      <c r="B419" s="3" t="s">
        <v>53</v>
      </c>
      <c r="C419" s="94" t="s">
        <v>620</v>
      </c>
      <c r="D419" s="390" t="s">
        <v>613</v>
      </c>
      <c r="E419" s="307"/>
      <c r="F419" s="3" t="s">
        <v>134</v>
      </c>
      <c r="G419" s="31">
        <v>3</v>
      </c>
      <c r="H419" s="31">
        <v>0</v>
      </c>
      <c r="I419" s="32">
        <v>21</v>
      </c>
      <c r="J419" s="31">
        <f>ROUND(G419*AO419,2)</f>
        <v>0</v>
      </c>
      <c r="K419" s="31">
        <f>ROUND(G419*AP419,2)</f>
        <v>0</v>
      </c>
      <c r="L419" s="31">
        <f>ROUND(G419*H419,2)</f>
        <v>0</v>
      </c>
      <c r="M419" s="31">
        <f>L419*(1+BW419/100)</f>
        <v>0</v>
      </c>
      <c r="N419" s="31">
        <v>4.58E-2</v>
      </c>
      <c r="O419" s="31">
        <f>G419*N419</f>
        <v>0.13739999999999999</v>
      </c>
      <c r="P419" s="33" t="s">
        <v>53</v>
      </c>
      <c r="Z419" s="31">
        <f>ROUND(IF(AQ419="5",BJ419,0),2)</f>
        <v>0</v>
      </c>
      <c r="AB419" s="31">
        <f>ROUND(IF(AQ419="1",BH419,0),2)</f>
        <v>0</v>
      </c>
      <c r="AC419" s="31">
        <f>ROUND(IF(AQ419="1",BI419,0),2)</f>
        <v>0</v>
      </c>
      <c r="AD419" s="31">
        <f>ROUND(IF(AQ419="7",BH419,0),2)</f>
        <v>0</v>
      </c>
      <c r="AE419" s="31">
        <f>ROUND(IF(AQ419="7",BI419,0),2)</f>
        <v>0</v>
      </c>
      <c r="AF419" s="31">
        <f>ROUND(IF(AQ419="2",BH419,0),2)</f>
        <v>0</v>
      </c>
      <c r="AG419" s="31">
        <f>ROUND(IF(AQ419="2",BI419,0),2)</f>
        <v>0</v>
      </c>
      <c r="AH419" s="31">
        <f>ROUND(IF(AQ419="0",BJ419,0),2)</f>
        <v>0</v>
      </c>
      <c r="AI419" s="12" t="s">
        <v>53</v>
      </c>
      <c r="AJ419" s="31">
        <f>IF(AN419=0,L419,0)</f>
        <v>0</v>
      </c>
      <c r="AK419" s="31">
        <f>IF(AN419=12,L419,0)</f>
        <v>0</v>
      </c>
      <c r="AL419" s="31">
        <f>IF(AN419=21,L419,0)</f>
        <v>0</v>
      </c>
      <c r="AN419" s="31">
        <v>21</v>
      </c>
      <c r="AO419" s="31">
        <f>H419*1</f>
        <v>0</v>
      </c>
      <c r="AP419" s="31">
        <f>H419*(1-1)</f>
        <v>0</v>
      </c>
      <c r="AQ419" s="34" t="s">
        <v>56</v>
      </c>
      <c r="AV419" s="31">
        <f>ROUND(AW419+AX419,2)</f>
        <v>0</v>
      </c>
      <c r="AW419" s="31">
        <f>ROUND(G419*AO419,2)</f>
        <v>0</v>
      </c>
      <c r="AX419" s="31">
        <f>ROUND(G419*AP419,2)</f>
        <v>0</v>
      </c>
      <c r="AY419" s="34" t="s">
        <v>392</v>
      </c>
      <c r="AZ419" s="34" t="s">
        <v>295</v>
      </c>
      <c r="BA419" s="12" t="s">
        <v>63</v>
      </c>
      <c r="BC419" s="31">
        <f>AW419+AX419</f>
        <v>0</v>
      </c>
      <c r="BD419" s="31">
        <f>H419/(100-BE419)*100</f>
        <v>0</v>
      </c>
      <c r="BE419" s="31">
        <v>0</v>
      </c>
      <c r="BF419" s="31">
        <f>O419</f>
        <v>0.13739999999999999</v>
      </c>
      <c r="BH419" s="31">
        <f>G419*AO419</f>
        <v>0</v>
      </c>
      <c r="BI419" s="31">
        <f>G419*AP419</f>
        <v>0</v>
      </c>
      <c r="BJ419" s="31">
        <f>G419*H419</f>
        <v>0</v>
      </c>
      <c r="BK419" s="34" t="s">
        <v>203</v>
      </c>
      <c r="BL419" s="31"/>
      <c r="BW419" s="31">
        <f>I419</f>
        <v>21</v>
      </c>
      <c r="BX419" s="4" t="s">
        <v>613</v>
      </c>
    </row>
    <row r="420" spans="1:76" x14ac:dyDescent="0.25">
      <c r="A420" s="35"/>
      <c r="D420" s="95" t="s">
        <v>507</v>
      </c>
      <c r="E420" s="36" t="s">
        <v>53</v>
      </c>
      <c r="G420" s="37">
        <v>3</v>
      </c>
      <c r="P420" s="38"/>
      <c r="BX420" t="s">
        <v>507</v>
      </c>
    </row>
    <row r="421" spans="1:76" ht="25.5" x14ac:dyDescent="0.25">
      <c r="A421" s="2">
        <f>A419+1</f>
        <v>150</v>
      </c>
      <c r="B421" s="3" t="s">
        <v>53</v>
      </c>
      <c r="C421" s="94" t="s">
        <v>621</v>
      </c>
      <c r="D421" s="390" t="s">
        <v>618</v>
      </c>
      <c r="E421" s="307"/>
      <c r="F421" s="3" t="s">
        <v>134</v>
      </c>
      <c r="G421" s="31">
        <v>4</v>
      </c>
      <c r="H421" s="31">
        <v>0</v>
      </c>
      <c r="I421" s="32">
        <v>21</v>
      </c>
      <c r="J421" s="31">
        <f>ROUND(G421*AO421,2)</f>
        <v>0</v>
      </c>
      <c r="K421" s="31">
        <f>ROUND(G421*AP421,2)</f>
        <v>0</v>
      </c>
      <c r="L421" s="31">
        <f>ROUND(G421*H421,2)</f>
        <v>0</v>
      </c>
      <c r="M421" s="31">
        <f>L421*(1+BW421/100)</f>
        <v>0</v>
      </c>
      <c r="N421" s="31">
        <v>0.05</v>
      </c>
      <c r="O421" s="31">
        <f>G421*N421</f>
        <v>0.2</v>
      </c>
      <c r="P421" s="33" t="s">
        <v>53</v>
      </c>
      <c r="Z421" s="31">
        <f>ROUND(IF(AQ421="5",BJ421,0),2)</f>
        <v>0</v>
      </c>
      <c r="AB421" s="31">
        <f>ROUND(IF(AQ421="1",BH421,0),2)</f>
        <v>0</v>
      </c>
      <c r="AC421" s="31">
        <f>ROUND(IF(AQ421="1",BI421,0),2)</f>
        <v>0</v>
      </c>
      <c r="AD421" s="31">
        <f>ROUND(IF(AQ421="7",BH421,0),2)</f>
        <v>0</v>
      </c>
      <c r="AE421" s="31">
        <f>ROUND(IF(AQ421="7",BI421,0),2)</f>
        <v>0</v>
      </c>
      <c r="AF421" s="31">
        <f>ROUND(IF(AQ421="2",BH421,0),2)</f>
        <v>0</v>
      </c>
      <c r="AG421" s="31">
        <f>ROUND(IF(AQ421="2",BI421,0),2)</f>
        <v>0</v>
      </c>
      <c r="AH421" s="31">
        <f>ROUND(IF(AQ421="0",BJ421,0),2)</f>
        <v>0</v>
      </c>
      <c r="AI421" s="12" t="s">
        <v>53</v>
      </c>
      <c r="AJ421" s="31">
        <f>IF(AN421=0,L421,0)</f>
        <v>0</v>
      </c>
      <c r="AK421" s="31">
        <f>IF(AN421=12,L421,0)</f>
        <v>0</v>
      </c>
      <c r="AL421" s="31">
        <f>IF(AN421=21,L421,0)</f>
        <v>0</v>
      </c>
      <c r="AN421" s="31">
        <v>21</v>
      </c>
      <c r="AO421" s="31">
        <f>H421*1</f>
        <v>0</v>
      </c>
      <c r="AP421" s="31">
        <f>H421*(1-1)</f>
        <v>0</v>
      </c>
      <c r="AQ421" s="34" t="s">
        <v>56</v>
      </c>
      <c r="AV421" s="31">
        <f>ROUND(AW421+AX421,2)</f>
        <v>0</v>
      </c>
      <c r="AW421" s="31">
        <f>ROUND(G421*AO421,2)</f>
        <v>0</v>
      </c>
      <c r="AX421" s="31">
        <f>ROUND(G421*AP421,2)</f>
        <v>0</v>
      </c>
      <c r="AY421" s="34" t="s">
        <v>392</v>
      </c>
      <c r="AZ421" s="34" t="s">
        <v>295</v>
      </c>
      <c r="BA421" s="12" t="s">
        <v>63</v>
      </c>
      <c r="BC421" s="31">
        <f>AW421+AX421</f>
        <v>0</v>
      </c>
      <c r="BD421" s="31">
        <f>H421/(100-BE421)*100</f>
        <v>0</v>
      </c>
      <c r="BE421" s="31">
        <v>0</v>
      </c>
      <c r="BF421" s="31">
        <f>O421</f>
        <v>0.2</v>
      </c>
      <c r="BH421" s="31">
        <f>G421*AO421</f>
        <v>0</v>
      </c>
      <c r="BI421" s="31">
        <f>G421*AP421</f>
        <v>0</v>
      </c>
      <c r="BJ421" s="31">
        <f>G421*H421</f>
        <v>0</v>
      </c>
      <c r="BK421" s="34" t="s">
        <v>203</v>
      </c>
      <c r="BL421" s="31"/>
      <c r="BW421" s="31">
        <f>I421</f>
        <v>21</v>
      </c>
      <c r="BX421" s="4" t="s">
        <v>618</v>
      </c>
    </row>
    <row r="422" spans="1:76" x14ac:dyDescent="0.25">
      <c r="A422" s="35"/>
      <c r="D422" s="87" t="s">
        <v>508</v>
      </c>
      <c r="E422" s="36" t="s">
        <v>53</v>
      </c>
      <c r="G422" s="37">
        <v>4</v>
      </c>
      <c r="P422" s="38"/>
      <c r="BX422" t="s">
        <v>508</v>
      </c>
    </row>
    <row r="423" spans="1:76" ht="42.75" customHeight="1" x14ac:dyDescent="0.25">
      <c r="A423" s="2">
        <f>A421+1</f>
        <v>151</v>
      </c>
      <c r="B423" s="3" t="s">
        <v>53</v>
      </c>
      <c r="C423" s="94" t="s">
        <v>622</v>
      </c>
      <c r="D423" s="390" t="s">
        <v>617</v>
      </c>
      <c r="E423" s="307"/>
      <c r="F423" s="3" t="s">
        <v>134</v>
      </c>
      <c r="G423" s="31">
        <v>7</v>
      </c>
      <c r="H423" s="31">
        <v>0</v>
      </c>
      <c r="I423" s="32">
        <v>21</v>
      </c>
      <c r="J423" s="31">
        <f>ROUND(G423*AO423,2)</f>
        <v>0</v>
      </c>
      <c r="K423" s="31">
        <f>ROUND(G423*AP423,2)</f>
        <v>0</v>
      </c>
      <c r="L423" s="31">
        <f>ROUND(G423*H423,2)</f>
        <v>0</v>
      </c>
      <c r="M423" s="31">
        <f>L423*(1+BW423/100)</f>
        <v>0</v>
      </c>
      <c r="N423" s="31">
        <v>0.05</v>
      </c>
      <c r="O423" s="31">
        <f>G423*N423</f>
        <v>0.35000000000000003</v>
      </c>
      <c r="P423" s="33" t="s">
        <v>53</v>
      </c>
      <c r="Z423" s="31">
        <f>ROUND(IF(AQ423="5",BJ423,0),2)</f>
        <v>0</v>
      </c>
      <c r="AB423" s="31">
        <f>ROUND(IF(AQ423="1",BH423,0),2)</f>
        <v>0</v>
      </c>
      <c r="AC423" s="31">
        <f>ROUND(IF(AQ423="1",BI423,0),2)</f>
        <v>0</v>
      </c>
      <c r="AD423" s="31">
        <f>ROUND(IF(AQ423="7",BH423,0),2)</f>
        <v>0</v>
      </c>
      <c r="AE423" s="31">
        <f>ROUND(IF(AQ423="7",BI423,0),2)</f>
        <v>0</v>
      </c>
      <c r="AF423" s="31">
        <f>ROUND(IF(AQ423="2",BH423,0),2)</f>
        <v>0</v>
      </c>
      <c r="AG423" s="31">
        <f>ROUND(IF(AQ423="2",BI423,0),2)</f>
        <v>0</v>
      </c>
      <c r="AH423" s="31">
        <f>ROUND(IF(AQ423="0",BJ423,0),2)</f>
        <v>0</v>
      </c>
      <c r="AI423" s="12" t="s">
        <v>53</v>
      </c>
      <c r="AJ423" s="31">
        <f>IF(AN423=0,L423,0)</f>
        <v>0</v>
      </c>
      <c r="AK423" s="31">
        <f>IF(AN423=12,L423,0)</f>
        <v>0</v>
      </c>
      <c r="AL423" s="31">
        <f>IF(AN423=21,L423,0)</f>
        <v>0</v>
      </c>
      <c r="AN423" s="31">
        <v>21</v>
      </c>
      <c r="AO423" s="31">
        <f>H423*1</f>
        <v>0</v>
      </c>
      <c r="AP423" s="31">
        <f>H423*(1-1)</f>
        <v>0</v>
      </c>
      <c r="AQ423" s="34" t="s">
        <v>56</v>
      </c>
      <c r="AV423" s="31">
        <f>ROUND(AW423+AX423,2)</f>
        <v>0</v>
      </c>
      <c r="AW423" s="31">
        <f>ROUND(G423*AO423,2)</f>
        <v>0</v>
      </c>
      <c r="AX423" s="31">
        <f>ROUND(G423*AP423,2)</f>
        <v>0</v>
      </c>
      <c r="AY423" s="34" t="s">
        <v>392</v>
      </c>
      <c r="AZ423" s="34" t="s">
        <v>295</v>
      </c>
      <c r="BA423" s="12" t="s">
        <v>63</v>
      </c>
      <c r="BC423" s="31">
        <f>AW423+AX423</f>
        <v>0</v>
      </c>
      <c r="BD423" s="31">
        <f>H423/(100-BE423)*100</f>
        <v>0</v>
      </c>
      <c r="BE423" s="31">
        <v>0</v>
      </c>
      <c r="BF423" s="31">
        <f>O423</f>
        <v>0.35000000000000003</v>
      </c>
      <c r="BH423" s="31">
        <f>G423*AO423</f>
        <v>0</v>
      </c>
      <c r="BI423" s="31">
        <f>G423*AP423</f>
        <v>0</v>
      </c>
      <c r="BJ423" s="31">
        <f>G423*H423</f>
        <v>0</v>
      </c>
      <c r="BK423" s="34" t="s">
        <v>203</v>
      </c>
      <c r="BL423" s="31"/>
      <c r="BW423" s="31">
        <f>I423</f>
        <v>21</v>
      </c>
      <c r="BX423" s="4" t="s">
        <v>617</v>
      </c>
    </row>
    <row r="424" spans="1:76" x14ac:dyDescent="0.25">
      <c r="A424" s="35"/>
      <c r="D424" s="95" t="s">
        <v>646</v>
      </c>
      <c r="E424" s="36" t="s">
        <v>53</v>
      </c>
      <c r="G424" s="37">
        <v>7</v>
      </c>
      <c r="P424" s="38"/>
      <c r="BX424" t="s">
        <v>646</v>
      </c>
    </row>
    <row r="425" spans="1:76" ht="41.25" customHeight="1" x14ac:dyDescent="0.25">
      <c r="A425" s="2">
        <f>A423+1</f>
        <v>152</v>
      </c>
      <c r="B425" s="3" t="s">
        <v>53</v>
      </c>
      <c r="C425" s="94" t="s">
        <v>623</v>
      </c>
      <c r="D425" s="390" t="s">
        <v>614</v>
      </c>
      <c r="E425" s="307"/>
      <c r="F425" s="3" t="s">
        <v>134</v>
      </c>
      <c r="G425" s="31">
        <v>1</v>
      </c>
      <c r="H425" s="31">
        <v>0</v>
      </c>
      <c r="I425" s="32">
        <v>21</v>
      </c>
      <c r="J425" s="31">
        <f>ROUND(G425*AO425,2)</f>
        <v>0</v>
      </c>
      <c r="K425" s="31">
        <f>ROUND(G425*AP425,2)</f>
        <v>0</v>
      </c>
      <c r="L425" s="31">
        <f>ROUND(G425*H425,2)</f>
        <v>0</v>
      </c>
      <c r="M425" s="31">
        <f>L425*(1+BW425/100)</f>
        <v>0</v>
      </c>
      <c r="N425" s="31">
        <v>4.3999999999999997E-2</v>
      </c>
      <c r="O425" s="31">
        <f>G425*N425</f>
        <v>4.3999999999999997E-2</v>
      </c>
      <c r="P425" s="33" t="s">
        <v>53</v>
      </c>
      <c r="Z425" s="31">
        <f>ROUND(IF(AQ425="5",BJ425,0),2)</f>
        <v>0</v>
      </c>
      <c r="AB425" s="31">
        <f>ROUND(IF(AQ425="1",BH425,0),2)</f>
        <v>0</v>
      </c>
      <c r="AC425" s="31">
        <f>ROUND(IF(AQ425="1",BI425,0),2)</f>
        <v>0</v>
      </c>
      <c r="AD425" s="31">
        <f>ROUND(IF(AQ425="7",BH425,0),2)</f>
        <v>0</v>
      </c>
      <c r="AE425" s="31">
        <f>ROUND(IF(AQ425="7",BI425,0),2)</f>
        <v>0</v>
      </c>
      <c r="AF425" s="31">
        <f>ROUND(IF(AQ425="2",BH425,0),2)</f>
        <v>0</v>
      </c>
      <c r="AG425" s="31">
        <f>ROUND(IF(AQ425="2",BI425,0),2)</f>
        <v>0</v>
      </c>
      <c r="AH425" s="31">
        <f>ROUND(IF(AQ425="0",BJ425,0),2)</f>
        <v>0</v>
      </c>
      <c r="AI425" s="12" t="s">
        <v>53</v>
      </c>
      <c r="AJ425" s="31">
        <f>IF(AN425=0,L425,0)</f>
        <v>0</v>
      </c>
      <c r="AK425" s="31">
        <f>IF(AN425=12,L425,0)</f>
        <v>0</v>
      </c>
      <c r="AL425" s="31">
        <f>IF(AN425=21,L425,0)</f>
        <v>0</v>
      </c>
      <c r="AN425" s="31">
        <v>21</v>
      </c>
      <c r="AO425" s="31">
        <f>H425*1</f>
        <v>0</v>
      </c>
      <c r="AP425" s="31">
        <f>H425*(1-1)</f>
        <v>0</v>
      </c>
      <c r="AQ425" s="34" t="s">
        <v>56</v>
      </c>
      <c r="AV425" s="31">
        <f>ROUND(AW425+AX425,2)</f>
        <v>0</v>
      </c>
      <c r="AW425" s="31">
        <f>ROUND(G425*AO425,2)</f>
        <v>0</v>
      </c>
      <c r="AX425" s="31">
        <f>ROUND(G425*AP425,2)</f>
        <v>0</v>
      </c>
      <c r="AY425" s="34" t="s">
        <v>392</v>
      </c>
      <c r="AZ425" s="34" t="s">
        <v>295</v>
      </c>
      <c r="BA425" s="12" t="s">
        <v>63</v>
      </c>
      <c r="BC425" s="31">
        <f>AW425+AX425</f>
        <v>0</v>
      </c>
      <c r="BD425" s="31">
        <f>H425/(100-BE425)*100</f>
        <v>0</v>
      </c>
      <c r="BE425" s="31">
        <v>0</v>
      </c>
      <c r="BF425" s="31">
        <f>O425</f>
        <v>4.3999999999999997E-2</v>
      </c>
      <c r="BH425" s="31">
        <f>G425*AO425</f>
        <v>0</v>
      </c>
      <c r="BI425" s="31">
        <f>G425*AP425</f>
        <v>0</v>
      </c>
      <c r="BJ425" s="31">
        <f>G425*H425</f>
        <v>0</v>
      </c>
      <c r="BK425" s="34" t="s">
        <v>203</v>
      </c>
      <c r="BL425" s="31"/>
      <c r="BW425" s="31">
        <f>I425</f>
        <v>21</v>
      </c>
      <c r="BX425" s="4" t="s">
        <v>614</v>
      </c>
    </row>
    <row r="426" spans="1:76" x14ac:dyDescent="0.25">
      <c r="A426" s="35"/>
      <c r="D426" s="87" t="s">
        <v>509</v>
      </c>
      <c r="E426" s="36" t="s">
        <v>53</v>
      </c>
      <c r="G426" s="37">
        <v>1</v>
      </c>
      <c r="P426" s="38"/>
      <c r="BX426" t="s">
        <v>509</v>
      </c>
    </row>
    <row r="427" spans="1:76" ht="42" customHeight="1" x14ac:dyDescent="0.25">
      <c r="A427" s="2">
        <f>A425+1</f>
        <v>153</v>
      </c>
      <c r="B427" s="3" t="s">
        <v>53</v>
      </c>
      <c r="C427" s="94" t="s">
        <v>624</v>
      </c>
      <c r="D427" s="390" t="s">
        <v>615</v>
      </c>
      <c r="E427" s="307"/>
      <c r="F427" s="3" t="s">
        <v>134</v>
      </c>
      <c r="G427" s="31">
        <v>23</v>
      </c>
      <c r="H427" s="31">
        <v>0</v>
      </c>
      <c r="I427" s="32">
        <v>21</v>
      </c>
      <c r="J427" s="31">
        <f>ROUND(G427*AO427,2)</f>
        <v>0</v>
      </c>
      <c r="K427" s="31">
        <f>ROUND(G427*AP427,2)</f>
        <v>0</v>
      </c>
      <c r="L427" s="31">
        <f>ROUND(G427*H427,2)</f>
        <v>0</v>
      </c>
      <c r="M427" s="31">
        <f>L427*(1+BW427/100)</f>
        <v>0</v>
      </c>
      <c r="N427" s="31">
        <v>4.58E-2</v>
      </c>
      <c r="O427" s="31">
        <f>G427*N427</f>
        <v>1.0534000000000001</v>
      </c>
      <c r="P427" s="33" t="s">
        <v>53</v>
      </c>
      <c r="Z427" s="31">
        <f>ROUND(IF(AQ427="5",BJ427,0),2)</f>
        <v>0</v>
      </c>
      <c r="AB427" s="31">
        <f>ROUND(IF(AQ427="1",BH427,0),2)</f>
        <v>0</v>
      </c>
      <c r="AC427" s="31">
        <f>ROUND(IF(AQ427="1",BI427,0),2)</f>
        <v>0</v>
      </c>
      <c r="AD427" s="31">
        <f>ROUND(IF(AQ427="7",BH427,0),2)</f>
        <v>0</v>
      </c>
      <c r="AE427" s="31">
        <f>ROUND(IF(AQ427="7",BI427,0),2)</f>
        <v>0</v>
      </c>
      <c r="AF427" s="31">
        <f>ROUND(IF(AQ427="2",BH427,0),2)</f>
        <v>0</v>
      </c>
      <c r="AG427" s="31">
        <f>ROUND(IF(AQ427="2",BI427,0),2)</f>
        <v>0</v>
      </c>
      <c r="AH427" s="31">
        <f>ROUND(IF(AQ427="0",BJ427,0),2)</f>
        <v>0</v>
      </c>
      <c r="AI427" s="12" t="s">
        <v>53</v>
      </c>
      <c r="AJ427" s="31">
        <f>IF(AN427=0,L427,0)</f>
        <v>0</v>
      </c>
      <c r="AK427" s="31">
        <f>IF(AN427=12,L427,0)</f>
        <v>0</v>
      </c>
      <c r="AL427" s="31">
        <f>IF(AN427=21,L427,0)</f>
        <v>0</v>
      </c>
      <c r="AN427" s="31">
        <v>21</v>
      </c>
      <c r="AO427" s="31">
        <f>H427*1</f>
        <v>0</v>
      </c>
      <c r="AP427" s="31">
        <f>H427*(1-1)</f>
        <v>0</v>
      </c>
      <c r="AQ427" s="34" t="s">
        <v>56</v>
      </c>
      <c r="AV427" s="31">
        <f>ROUND(AW427+AX427,2)</f>
        <v>0</v>
      </c>
      <c r="AW427" s="31">
        <f>ROUND(G427*AO427,2)</f>
        <v>0</v>
      </c>
      <c r="AX427" s="31">
        <f>ROUND(G427*AP427,2)</f>
        <v>0</v>
      </c>
      <c r="AY427" s="34" t="s">
        <v>392</v>
      </c>
      <c r="AZ427" s="34" t="s">
        <v>295</v>
      </c>
      <c r="BA427" s="12" t="s">
        <v>63</v>
      </c>
      <c r="BC427" s="31">
        <f>AW427+AX427</f>
        <v>0</v>
      </c>
      <c r="BD427" s="31">
        <f>H427/(100-BE427)*100</f>
        <v>0</v>
      </c>
      <c r="BE427" s="31">
        <v>0</v>
      </c>
      <c r="BF427" s="31">
        <f>O427</f>
        <v>1.0534000000000001</v>
      </c>
      <c r="BH427" s="31">
        <f>G427*AO427</f>
        <v>0</v>
      </c>
      <c r="BI427" s="31">
        <f>G427*AP427</f>
        <v>0</v>
      </c>
      <c r="BJ427" s="31">
        <f>G427*H427</f>
        <v>0</v>
      </c>
      <c r="BK427" s="34" t="s">
        <v>203</v>
      </c>
      <c r="BL427" s="31"/>
      <c r="BW427" s="31">
        <f>I427</f>
        <v>21</v>
      </c>
      <c r="BX427" s="4" t="s">
        <v>615</v>
      </c>
    </row>
    <row r="428" spans="1:76" x14ac:dyDescent="0.25">
      <c r="A428" s="35"/>
      <c r="D428" s="95" t="s">
        <v>647</v>
      </c>
      <c r="E428" s="36" t="s">
        <v>53</v>
      </c>
      <c r="G428" s="37">
        <v>23</v>
      </c>
      <c r="P428" s="38"/>
      <c r="BX428" t="s">
        <v>647</v>
      </c>
    </row>
    <row r="429" spans="1:76" ht="40.5" customHeight="1" x14ac:dyDescent="0.25">
      <c r="A429" s="2">
        <f>A427+1</f>
        <v>154</v>
      </c>
      <c r="B429" s="3" t="s">
        <v>53</v>
      </c>
      <c r="C429" s="94" t="s">
        <v>625</v>
      </c>
      <c r="D429" s="390" t="s">
        <v>616</v>
      </c>
      <c r="E429" s="307"/>
      <c r="F429" s="3" t="s">
        <v>134</v>
      </c>
      <c r="G429" s="31">
        <v>42</v>
      </c>
      <c r="H429" s="31">
        <v>0</v>
      </c>
      <c r="I429" s="32">
        <v>21</v>
      </c>
      <c r="J429" s="31">
        <f>ROUND(G429*AO429,2)</f>
        <v>0</v>
      </c>
      <c r="K429" s="31">
        <f>ROUND(G429*AP429,2)</f>
        <v>0</v>
      </c>
      <c r="L429" s="31">
        <f>ROUND(G429*H429,2)</f>
        <v>0</v>
      </c>
      <c r="M429" s="31">
        <f>L429*(1+BW429/100)</f>
        <v>0</v>
      </c>
      <c r="N429" s="31">
        <v>0.05</v>
      </c>
      <c r="O429" s="31">
        <f>G429*N429</f>
        <v>2.1</v>
      </c>
      <c r="P429" s="33" t="s">
        <v>53</v>
      </c>
      <c r="Z429" s="31">
        <f>ROUND(IF(AQ429="5",BJ429,0),2)</f>
        <v>0</v>
      </c>
      <c r="AB429" s="31">
        <f>ROUND(IF(AQ429="1",BH429,0),2)</f>
        <v>0</v>
      </c>
      <c r="AC429" s="31">
        <f>ROUND(IF(AQ429="1",BI429,0),2)</f>
        <v>0</v>
      </c>
      <c r="AD429" s="31">
        <f>ROUND(IF(AQ429="7",BH429,0),2)</f>
        <v>0</v>
      </c>
      <c r="AE429" s="31">
        <f>ROUND(IF(AQ429="7",BI429,0),2)</f>
        <v>0</v>
      </c>
      <c r="AF429" s="31">
        <f>ROUND(IF(AQ429="2",BH429,0),2)</f>
        <v>0</v>
      </c>
      <c r="AG429" s="31">
        <f>ROUND(IF(AQ429="2",BI429,0),2)</f>
        <v>0</v>
      </c>
      <c r="AH429" s="31">
        <f>ROUND(IF(AQ429="0",BJ429,0),2)</f>
        <v>0</v>
      </c>
      <c r="AI429" s="12" t="s">
        <v>53</v>
      </c>
      <c r="AJ429" s="31">
        <f>IF(AN429=0,L429,0)</f>
        <v>0</v>
      </c>
      <c r="AK429" s="31">
        <f>IF(AN429=12,L429,0)</f>
        <v>0</v>
      </c>
      <c r="AL429" s="31">
        <f>IF(AN429=21,L429,0)</f>
        <v>0</v>
      </c>
      <c r="AN429" s="31">
        <v>21</v>
      </c>
      <c r="AO429" s="31">
        <f>H429*1</f>
        <v>0</v>
      </c>
      <c r="AP429" s="31">
        <f>H429*(1-1)</f>
        <v>0</v>
      </c>
      <c r="AQ429" s="34" t="s">
        <v>56</v>
      </c>
      <c r="AV429" s="31">
        <f>ROUND(AW429+AX429,2)</f>
        <v>0</v>
      </c>
      <c r="AW429" s="31">
        <f>ROUND(G429*AO429,2)</f>
        <v>0</v>
      </c>
      <c r="AX429" s="31">
        <f>ROUND(G429*AP429,2)</f>
        <v>0</v>
      </c>
      <c r="AY429" s="34" t="s">
        <v>392</v>
      </c>
      <c r="AZ429" s="34" t="s">
        <v>295</v>
      </c>
      <c r="BA429" s="12" t="s">
        <v>63</v>
      </c>
      <c r="BC429" s="31">
        <f>AW429+AX429</f>
        <v>0</v>
      </c>
      <c r="BD429" s="31">
        <f>H429/(100-BE429)*100</f>
        <v>0</v>
      </c>
      <c r="BE429" s="31">
        <v>0</v>
      </c>
      <c r="BF429" s="31">
        <f>O429</f>
        <v>2.1</v>
      </c>
      <c r="BH429" s="31">
        <f>G429*AO429</f>
        <v>0</v>
      </c>
      <c r="BI429" s="31">
        <f>G429*AP429</f>
        <v>0</v>
      </c>
      <c r="BJ429" s="31">
        <f>G429*H429</f>
        <v>0</v>
      </c>
      <c r="BK429" s="34" t="s">
        <v>203</v>
      </c>
      <c r="BL429" s="31"/>
      <c r="BW429" s="31">
        <f>I429</f>
        <v>21</v>
      </c>
      <c r="BX429" s="4" t="s">
        <v>616</v>
      </c>
    </row>
    <row r="430" spans="1:76" x14ac:dyDescent="0.25">
      <c r="A430" s="35"/>
      <c r="D430" s="95" t="s">
        <v>648</v>
      </c>
      <c r="E430" s="36" t="s">
        <v>53</v>
      </c>
      <c r="G430" s="37">
        <v>42</v>
      </c>
      <c r="P430" s="38"/>
      <c r="BX430" t="s">
        <v>648</v>
      </c>
    </row>
    <row r="431" spans="1:76" x14ac:dyDescent="0.25">
      <c r="A431" s="2">
        <f>A429+1</f>
        <v>155</v>
      </c>
      <c r="B431" s="3" t="s">
        <v>53</v>
      </c>
      <c r="C431" s="3" t="s">
        <v>510</v>
      </c>
      <c r="D431" s="310" t="s">
        <v>511</v>
      </c>
      <c r="E431" s="307"/>
      <c r="F431" s="3" t="s">
        <v>185</v>
      </c>
      <c r="G431" s="31">
        <v>2</v>
      </c>
      <c r="H431" s="31">
        <v>0</v>
      </c>
      <c r="I431" s="32">
        <v>21</v>
      </c>
      <c r="J431" s="31">
        <f>ROUND(G431*AO431,2)</f>
        <v>0</v>
      </c>
      <c r="K431" s="31">
        <f>ROUND(G431*AP431,2)</f>
        <v>0</v>
      </c>
      <c r="L431" s="31">
        <f>ROUND(G431*H431,2)</f>
        <v>0</v>
      </c>
      <c r="M431" s="31">
        <f>L431*(1+BW431/100)</f>
        <v>0</v>
      </c>
      <c r="N431" s="31">
        <v>0</v>
      </c>
      <c r="O431" s="31">
        <f>G431*N431</f>
        <v>0</v>
      </c>
      <c r="P431" s="33" t="s">
        <v>53</v>
      </c>
      <c r="Z431" s="31">
        <f>ROUND(IF(AQ431="5",BJ431,0),2)</f>
        <v>0</v>
      </c>
      <c r="AB431" s="31">
        <f>ROUND(IF(AQ431="1",BH431,0),2)</f>
        <v>0</v>
      </c>
      <c r="AC431" s="31">
        <f>ROUND(IF(AQ431="1",BI431,0),2)</f>
        <v>0</v>
      </c>
      <c r="AD431" s="31">
        <f>ROUND(IF(AQ431="7",BH431,0),2)</f>
        <v>0</v>
      </c>
      <c r="AE431" s="31">
        <f>ROUND(IF(AQ431="7",BI431,0),2)</f>
        <v>0</v>
      </c>
      <c r="AF431" s="31">
        <f>ROUND(IF(AQ431="2",BH431,0),2)</f>
        <v>0</v>
      </c>
      <c r="AG431" s="31">
        <f>ROUND(IF(AQ431="2",BI431,0),2)</f>
        <v>0</v>
      </c>
      <c r="AH431" s="31">
        <f>ROUND(IF(AQ431="0",BJ431,0),2)</f>
        <v>0</v>
      </c>
      <c r="AI431" s="12" t="s">
        <v>53</v>
      </c>
      <c r="AJ431" s="31">
        <f>IF(AN431=0,L431,0)</f>
        <v>0</v>
      </c>
      <c r="AK431" s="31">
        <f>IF(AN431=12,L431,0)</f>
        <v>0</v>
      </c>
      <c r="AL431" s="31">
        <f>IF(AN431=21,L431,0)</f>
        <v>0</v>
      </c>
      <c r="AN431" s="31">
        <v>21</v>
      </c>
      <c r="AO431" s="31">
        <f>H431*0</f>
        <v>0</v>
      </c>
      <c r="AP431" s="31">
        <f>H431*(1-0)</f>
        <v>0</v>
      </c>
      <c r="AQ431" s="34" t="s">
        <v>68</v>
      </c>
      <c r="AV431" s="31">
        <f>ROUND(AW431+AX431,2)</f>
        <v>0</v>
      </c>
      <c r="AW431" s="31">
        <f>ROUND(G431*AO431,2)</f>
        <v>0</v>
      </c>
      <c r="AX431" s="31">
        <f>ROUND(G431*AP431,2)</f>
        <v>0</v>
      </c>
      <c r="AY431" s="34" t="s">
        <v>392</v>
      </c>
      <c r="AZ431" s="34" t="s">
        <v>295</v>
      </c>
      <c r="BA431" s="12" t="s">
        <v>63</v>
      </c>
      <c r="BC431" s="31">
        <f>AW431+AX431</f>
        <v>0</v>
      </c>
      <c r="BD431" s="31">
        <f>H431/(100-BE431)*100</f>
        <v>0</v>
      </c>
      <c r="BE431" s="31">
        <v>0</v>
      </c>
      <c r="BF431" s="31">
        <f>O431</f>
        <v>0</v>
      </c>
      <c r="BH431" s="31">
        <f>G431*AO431</f>
        <v>0</v>
      </c>
      <c r="BI431" s="31">
        <f>G431*AP431</f>
        <v>0</v>
      </c>
      <c r="BJ431" s="31">
        <f>G431*H431</f>
        <v>0</v>
      </c>
      <c r="BK431" s="34" t="s">
        <v>64</v>
      </c>
      <c r="BL431" s="31"/>
      <c r="BW431" s="31">
        <f>I431</f>
        <v>21</v>
      </c>
      <c r="BX431" s="4" t="s">
        <v>511</v>
      </c>
    </row>
    <row r="432" spans="1:76" x14ac:dyDescent="0.25">
      <c r="A432" s="2">
        <f>A431+1</f>
        <v>156</v>
      </c>
      <c r="B432" s="3" t="s">
        <v>53</v>
      </c>
      <c r="C432" s="3" t="s">
        <v>512</v>
      </c>
      <c r="D432" s="310" t="s">
        <v>513</v>
      </c>
      <c r="E432" s="307"/>
      <c r="F432" s="3" t="s">
        <v>185</v>
      </c>
      <c r="G432" s="31">
        <v>1</v>
      </c>
      <c r="H432" s="31">
        <v>0</v>
      </c>
      <c r="I432" s="32">
        <v>21</v>
      </c>
      <c r="J432" s="31">
        <f>ROUND(G432*AO432,2)</f>
        <v>0</v>
      </c>
      <c r="K432" s="31">
        <f>ROUND(G432*AP432,2)</f>
        <v>0</v>
      </c>
      <c r="L432" s="31">
        <f>ROUND(G432*H432,2)</f>
        <v>0</v>
      </c>
      <c r="M432" s="31">
        <f>L432*(1+BW432/100)</f>
        <v>0</v>
      </c>
      <c r="N432" s="31">
        <v>0</v>
      </c>
      <c r="O432" s="31">
        <f>G432*N432</f>
        <v>0</v>
      </c>
      <c r="P432" s="33" t="s">
        <v>53</v>
      </c>
      <c r="Z432" s="31">
        <f>ROUND(IF(AQ432="5",BJ432,0),2)</f>
        <v>0</v>
      </c>
      <c r="AB432" s="31">
        <f>ROUND(IF(AQ432="1",BH432,0),2)</f>
        <v>0</v>
      </c>
      <c r="AC432" s="31">
        <f>ROUND(IF(AQ432="1",BI432,0),2)</f>
        <v>0</v>
      </c>
      <c r="AD432" s="31">
        <f>ROUND(IF(AQ432="7",BH432,0),2)</f>
        <v>0</v>
      </c>
      <c r="AE432" s="31">
        <f>ROUND(IF(AQ432="7",BI432,0),2)</f>
        <v>0</v>
      </c>
      <c r="AF432" s="31">
        <f>ROUND(IF(AQ432="2",BH432,0),2)</f>
        <v>0</v>
      </c>
      <c r="AG432" s="31">
        <f>ROUND(IF(AQ432="2",BI432,0),2)</f>
        <v>0</v>
      </c>
      <c r="AH432" s="31">
        <f>ROUND(IF(AQ432="0",BJ432,0),2)</f>
        <v>0</v>
      </c>
      <c r="AI432" s="12" t="s">
        <v>53</v>
      </c>
      <c r="AJ432" s="31">
        <f>IF(AN432=0,L432,0)</f>
        <v>0</v>
      </c>
      <c r="AK432" s="31">
        <f>IF(AN432=12,L432,0)</f>
        <v>0</v>
      </c>
      <c r="AL432" s="31">
        <f>IF(AN432=21,L432,0)</f>
        <v>0</v>
      </c>
      <c r="AN432" s="31">
        <v>21</v>
      </c>
      <c r="AO432" s="31">
        <f>H432*1</f>
        <v>0</v>
      </c>
      <c r="AP432" s="31">
        <f>H432*(1-1)</f>
        <v>0</v>
      </c>
      <c r="AQ432" s="34" t="s">
        <v>56</v>
      </c>
      <c r="AV432" s="31">
        <f>ROUND(AW432+AX432,2)</f>
        <v>0</v>
      </c>
      <c r="AW432" s="31">
        <f>ROUND(G432*AO432,2)</f>
        <v>0</v>
      </c>
      <c r="AX432" s="31">
        <f>ROUND(G432*AP432,2)</f>
        <v>0</v>
      </c>
      <c r="AY432" s="34" t="s">
        <v>392</v>
      </c>
      <c r="AZ432" s="34" t="s">
        <v>295</v>
      </c>
      <c r="BA432" s="12" t="s">
        <v>63</v>
      </c>
      <c r="BC432" s="31">
        <f>AW432+AX432</f>
        <v>0</v>
      </c>
      <c r="BD432" s="31">
        <f>H432/(100-BE432)*100</f>
        <v>0</v>
      </c>
      <c r="BE432" s="31">
        <v>0</v>
      </c>
      <c r="BF432" s="31">
        <f>O432</f>
        <v>0</v>
      </c>
      <c r="BH432" s="31">
        <f>G432*AO432</f>
        <v>0</v>
      </c>
      <c r="BI432" s="31">
        <f>G432*AP432</f>
        <v>0</v>
      </c>
      <c r="BJ432" s="31">
        <f>G432*H432</f>
        <v>0</v>
      </c>
      <c r="BK432" s="34" t="s">
        <v>203</v>
      </c>
      <c r="BL432" s="31"/>
      <c r="BW432" s="31">
        <f>I432</f>
        <v>21</v>
      </c>
      <c r="BX432" s="4" t="s">
        <v>513</v>
      </c>
    </row>
    <row r="433" spans="1:76" x14ac:dyDescent="0.25">
      <c r="A433" s="39" t="s">
        <v>53</v>
      </c>
      <c r="B433" s="40" t="s">
        <v>53</v>
      </c>
      <c r="C433" s="40" t="s">
        <v>514</v>
      </c>
      <c r="D433" s="375" t="s">
        <v>515</v>
      </c>
      <c r="E433" s="376"/>
      <c r="F433" s="41" t="s">
        <v>3</v>
      </c>
      <c r="G433" s="41" t="s">
        <v>3</v>
      </c>
      <c r="H433" s="41" t="s">
        <v>3</v>
      </c>
      <c r="I433" s="41" t="s">
        <v>3</v>
      </c>
      <c r="J433" s="1">
        <f>SUM(J434:J489)</f>
        <v>0</v>
      </c>
      <c r="K433" s="1">
        <f>SUM(K434:K489)</f>
        <v>0</v>
      </c>
      <c r="L433" s="1">
        <f>SUM(L434:L489)</f>
        <v>0</v>
      </c>
      <c r="M433" s="1">
        <f>SUM(M434:M489)</f>
        <v>0</v>
      </c>
      <c r="N433" s="12" t="s">
        <v>53</v>
      </c>
      <c r="O433" s="1">
        <f>SUM(O434:O489)</f>
        <v>5.1194179999999987</v>
      </c>
      <c r="P433" s="42" t="s">
        <v>53</v>
      </c>
      <c r="AI433" s="12" t="s">
        <v>53</v>
      </c>
      <c r="AS433" s="1">
        <f>SUM(AJ434:AJ489)</f>
        <v>0</v>
      </c>
      <c r="AT433" s="1">
        <f>SUM(AK434:AK489)</f>
        <v>0</v>
      </c>
      <c r="AU433" s="1">
        <f>SUM(AL434:AL489)</f>
        <v>0</v>
      </c>
      <c r="BX433" t="s">
        <v>515</v>
      </c>
    </row>
    <row r="434" spans="1:76" x14ac:dyDescent="0.25">
      <c r="A434" s="2">
        <f>A432+1</f>
        <v>157</v>
      </c>
      <c r="B434" s="3" t="s">
        <v>53</v>
      </c>
      <c r="C434" s="3" t="s">
        <v>390</v>
      </c>
      <c r="D434" s="310" t="s">
        <v>391</v>
      </c>
      <c r="E434" s="307"/>
      <c r="F434" s="3" t="s">
        <v>71</v>
      </c>
      <c r="G434" s="31">
        <v>693.2</v>
      </c>
      <c r="H434" s="31">
        <v>0</v>
      </c>
      <c r="I434" s="32">
        <v>21</v>
      </c>
      <c r="J434" s="31">
        <f>ROUND(G434*AO434,2)</f>
        <v>0</v>
      </c>
      <c r="K434" s="31">
        <f>ROUND(G434*AP434,2)</f>
        <v>0</v>
      </c>
      <c r="L434" s="31">
        <f>ROUND(G434*H434,2)</f>
        <v>0</v>
      </c>
      <c r="M434" s="31">
        <f>L434*(1+BW434/100)</f>
        <v>0</v>
      </c>
      <c r="N434" s="31">
        <v>1.1E-4</v>
      </c>
      <c r="O434" s="31">
        <f>G434*N434</f>
        <v>7.6252000000000014E-2</v>
      </c>
      <c r="P434" s="33" t="s">
        <v>60</v>
      </c>
      <c r="Z434" s="31">
        <f>ROUND(IF(AQ434="5",BJ434,0),2)</f>
        <v>0</v>
      </c>
      <c r="AB434" s="31">
        <f>ROUND(IF(AQ434="1",BH434,0),2)</f>
        <v>0</v>
      </c>
      <c r="AC434" s="31">
        <f>ROUND(IF(AQ434="1",BI434,0),2)</f>
        <v>0</v>
      </c>
      <c r="AD434" s="31">
        <f>ROUND(IF(AQ434="7",BH434,0),2)</f>
        <v>0</v>
      </c>
      <c r="AE434" s="31">
        <f>ROUND(IF(AQ434="7",BI434,0),2)</f>
        <v>0</v>
      </c>
      <c r="AF434" s="31">
        <f>ROUND(IF(AQ434="2",BH434,0),2)</f>
        <v>0</v>
      </c>
      <c r="AG434" s="31">
        <f>ROUND(IF(AQ434="2",BI434,0),2)</f>
        <v>0</v>
      </c>
      <c r="AH434" s="31">
        <f>ROUND(IF(AQ434="0",BJ434,0),2)</f>
        <v>0</v>
      </c>
      <c r="AI434" s="12" t="s">
        <v>53</v>
      </c>
      <c r="AJ434" s="31">
        <f>IF(AN434=0,L434,0)</f>
        <v>0</v>
      </c>
      <c r="AK434" s="31">
        <f>IF(AN434=12,L434,0)</f>
        <v>0</v>
      </c>
      <c r="AL434" s="31">
        <f>IF(AN434=21,L434,0)</f>
        <v>0</v>
      </c>
      <c r="AN434" s="31">
        <v>21</v>
      </c>
      <c r="AO434" s="31">
        <f>H434*0.052485812</f>
        <v>0</v>
      </c>
      <c r="AP434" s="31">
        <f>H434*(1-0.052485812)</f>
        <v>0</v>
      </c>
      <c r="AQ434" s="34" t="s">
        <v>68</v>
      </c>
      <c r="AV434" s="31">
        <f>ROUND(AW434+AX434,2)</f>
        <v>0</v>
      </c>
      <c r="AW434" s="31">
        <f>ROUND(G434*AO434,2)</f>
        <v>0</v>
      </c>
      <c r="AX434" s="31">
        <f>ROUND(G434*AP434,2)</f>
        <v>0</v>
      </c>
      <c r="AY434" s="34" t="s">
        <v>516</v>
      </c>
      <c r="AZ434" s="34" t="s">
        <v>295</v>
      </c>
      <c r="BA434" s="12" t="s">
        <v>63</v>
      </c>
      <c r="BC434" s="31">
        <f>AW434+AX434</f>
        <v>0</v>
      </c>
      <c r="BD434" s="31">
        <f>H434/(100-BE434)*100</f>
        <v>0</v>
      </c>
      <c r="BE434" s="31">
        <v>0</v>
      </c>
      <c r="BF434" s="31">
        <f>O434</f>
        <v>7.6252000000000014E-2</v>
      </c>
      <c r="BH434" s="31">
        <f>G434*AO434</f>
        <v>0</v>
      </c>
      <c r="BI434" s="31">
        <f>G434*AP434</f>
        <v>0</v>
      </c>
      <c r="BJ434" s="31">
        <f>G434*H434</f>
        <v>0</v>
      </c>
      <c r="BK434" s="34" t="s">
        <v>64</v>
      </c>
      <c r="BL434" s="31"/>
      <c r="BW434" s="31">
        <f>I434</f>
        <v>21</v>
      </c>
      <c r="BX434" s="4" t="s">
        <v>391</v>
      </c>
    </row>
    <row r="435" spans="1:76" x14ac:dyDescent="0.25">
      <c r="A435" s="35"/>
      <c r="D435" s="87" t="s">
        <v>1178</v>
      </c>
      <c r="E435" s="36" t="s">
        <v>53</v>
      </c>
      <c r="G435" s="37">
        <v>693.2</v>
      </c>
      <c r="P435" s="38"/>
      <c r="BX435" t="s">
        <v>1178</v>
      </c>
    </row>
    <row r="436" spans="1:76" x14ac:dyDescent="0.25">
      <c r="A436" s="2">
        <f>A434+1</f>
        <v>158</v>
      </c>
      <c r="B436" s="3" t="s">
        <v>53</v>
      </c>
      <c r="C436" s="3" t="s">
        <v>394</v>
      </c>
      <c r="D436" s="310" t="s">
        <v>395</v>
      </c>
      <c r="E436" s="307"/>
      <c r="F436" s="3" t="s">
        <v>71</v>
      </c>
      <c r="G436" s="31">
        <v>276.15000000000003</v>
      </c>
      <c r="H436" s="31">
        <v>0</v>
      </c>
      <c r="I436" s="32">
        <v>21</v>
      </c>
      <c r="J436" s="31">
        <f>ROUND(G436*AO436,2)</f>
        <v>0</v>
      </c>
      <c r="K436" s="31">
        <f>ROUND(G436*AP436,2)</f>
        <v>0</v>
      </c>
      <c r="L436" s="31">
        <f>ROUND(G436*H436,2)</f>
        <v>0</v>
      </c>
      <c r="M436" s="31">
        <f>L436*(1+BW436/100)</f>
        <v>0</v>
      </c>
      <c r="N436" s="31">
        <v>1.72E-2</v>
      </c>
      <c r="O436" s="31">
        <f>G436*N436</f>
        <v>4.7497800000000003</v>
      </c>
      <c r="P436" s="33" t="s">
        <v>60</v>
      </c>
      <c r="Z436" s="31">
        <f>ROUND(IF(AQ436="5",BJ436,0),2)</f>
        <v>0</v>
      </c>
      <c r="AB436" s="31">
        <f>ROUND(IF(AQ436="1",BH436,0),2)</f>
        <v>0</v>
      </c>
      <c r="AC436" s="31">
        <f>ROUND(IF(AQ436="1",BI436,0),2)</f>
        <v>0</v>
      </c>
      <c r="AD436" s="31">
        <f>ROUND(IF(AQ436="7",BH436,0),2)</f>
        <v>0</v>
      </c>
      <c r="AE436" s="31">
        <f>ROUND(IF(AQ436="7",BI436,0),2)</f>
        <v>0</v>
      </c>
      <c r="AF436" s="31">
        <f>ROUND(IF(AQ436="2",BH436,0),2)</f>
        <v>0</v>
      </c>
      <c r="AG436" s="31">
        <f>ROUND(IF(AQ436="2",BI436,0),2)</f>
        <v>0</v>
      </c>
      <c r="AH436" s="31">
        <f>ROUND(IF(AQ436="0",BJ436,0),2)</f>
        <v>0</v>
      </c>
      <c r="AI436" s="12" t="s">
        <v>53</v>
      </c>
      <c r="AJ436" s="31">
        <f>IF(AN436=0,L436,0)</f>
        <v>0</v>
      </c>
      <c r="AK436" s="31">
        <f>IF(AN436=12,L436,0)</f>
        <v>0</v>
      </c>
      <c r="AL436" s="31">
        <f>IF(AN436=21,L436,0)</f>
        <v>0</v>
      </c>
      <c r="AN436" s="31">
        <v>21</v>
      </c>
      <c r="AO436" s="31">
        <f>H436*1</f>
        <v>0</v>
      </c>
      <c r="AP436" s="31">
        <f>H436*(1-1)</f>
        <v>0</v>
      </c>
      <c r="AQ436" s="34" t="s">
        <v>56</v>
      </c>
      <c r="AV436" s="31">
        <f>ROUND(AW436+AX436,2)</f>
        <v>0</v>
      </c>
      <c r="AW436" s="31">
        <f>ROUND(G436*AO436,2)</f>
        <v>0</v>
      </c>
      <c r="AX436" s="31">
        <f>ROUND(G436*AP436,2)</f>
        <v>0</v>
      </c>
      <c r="AY436" s="34" t="s">
        <v>516</v>
      </c>
      <c r="AZ436" s="34" t="s">
        <v>295</v>
      </c>
      <c r="BA436" s="12" t="s">
        <v>63</v>
      </c>
      <c r="BC436" s="31">
        <f>AW436+AX436</f>
        <v>0</v>
      </c>
      <c r="BD436" s="31">
        <f>H436/(100-BE436)*100</f>
        <v>0</v>
      </c>
      <c r="BE436" s="31">
        <v>0</v>
      </c>
      <c r="BF436" s="31">
        <f>O436</f>
        <v>4.7497800000000003</v>
      </c>
      <c r="BH436" s="31">
        <f>G436*AO436</f>
        <v>0</v>
      </c>
      <c r="BI436" s="31">
        <f>G436*AP436</f>
        <v>0</v>
      </c>
      <c r="BJ436" s="31">
        <f>G436*H436</f>
        <v>0</v>
      </c>
      <c r="BK436" s="34" t="s">
        <v>203</v>
      </c>
      <c r="BL436" s="31"/>
      <c r="BW436" s="31">
        <f>I436</f>
        <v>21</v>
      </c>
      <c r="BX436" s="4" t="s">
        <v>395</v>
      </c>
    </row>
    <row r="437" spans="1:76" x14ac:dyDescent="0.25">
      <c r="A437" s="35"/>
      <c r="D437" s="87" t="s">
        <v>1180</v>
      </c>
      <c r="E437" s="36" t="s">
        <v>53</v>
      </c>
      <c r="G437" s="37">
        <v>276.15000000000003</v>
      </c>
      <c r="P437" s="38"/>
      <c r="BX437" t="s">
        <v>1180</v>
      </c>
    </row>
    <row r="438" spans="1:76" x14ac:dyDescent="0.25">
      <c r="A438" s="2">
        <f>A436+1</f>
        <v>159</v>
      </c>
      <c r="B438" s="3" t="s">
        <v>53</v>
      </c>
      <c r="C438" s="3" t="s">
        <v>517</v>
      </c>
      <c r="D438" s="310" t="s">
        <v>518</v>
      </c>
      <c r="E438" s="307"/>
      <c r="F438" s="3" t="s">
        <v>71</v>
      </c>
      <c r="G438" s="31">
        <v>6</v>
      </c>
      <c r="H438" s="31">
        <v>0</v>
      </c>
      <c r="I438" s="32">
        <v>21</v>
      </c>
      <c r="J438" s="31">
        <f>ROUND(G438*AO438,2)</f>
        <v>0</v>
      </c>
      <c r="K438" s="31">
        <f>ROUND(G438*AP438,2)</f>
        <v>0</v>
      </c>
      <c r="L438" s="31">
        <f>ROUND(G438*H438,2)</f>
        <v>0</v>
      </c>
      <c r="M438" s="31">
        <f>L438*(1+BW438/100)</f>
        <v>0</v>
      </c>
      <c r="N438" s="31">
        <v>1.0000000000000001E-5</v>
      </c>
      <c r="O438" s="31">
        <f>G438*N438</f>
        <v>6.0000000000000008E-5</v>
      </c>
      <c r="P438" s="33" t="s">
        <v>60</v>
      </c>
      <c r="Z438" s="31">
        <f>ROUND(IF(AQ438="5",BJ438,0),2)</f>
        <v>0</v>
      </c>
      <c r="AB438" s="31">
        <f>ROUND(IF(AQ438="1",BH438,0),2)</f>
        <v>0</v>
      </c>
      <c r="AC438" s="31">
        <f>ROUND(IF(AQ438="1",BI438,0),2)</f>
        <v>0</v>
      </c>
      <c r="AD438" s="31">
        <f>ROUND(IF(AQ438="7",BH438,0),2)</f>
        <v>0</v>
      </c>
      <c r="AE438" s="31">
        <f>ROUND(IF(AQ438="7",BI438,0),2)</f>
        <v>0</v>
      </c>
      <c r="AF438" s="31">
        <f>ROUND(IF(AQ438="2",BH438,0),2)</f>
        <v>0</v>
      </c>
      <c r="AG438" s="31">
        <f>ROUND(IF(AQ438="2",BI438,0),2)</f>
        <v>0</v>
      </c>
      <c r="AH438" s="31">
        <f>ROUND(IF(AQ438="0",BJ438,0),2)</f>
        <v>0</v>
      </c>
      <c r="AI438" s="12" t="s">
        <v>53</v>
      </c>
      <c r="AJ438" s="31">
        <f>IF(AN438=0,L438,0)</f>
        <v>0</v>
      </c>
      <c r="AK438" s="31">
        <f>IF(AN438=12,L438,0)</f>
        <v>0</v>
      </c>
      <c r="AL438" s="31">
        <f>IF(AN438=21,L438,0)</f>
        <v>0</v>
      </c>
      <c r="AN438" s="31">
        <v>21</v>
      </c>
      <c r="AO438" s="31">
        <f>H438*0.01878225</f>
        <v>0</v>
      </c>
      <c r="AP438" s="31">
        <f>H438*(1-0.01878225)</f>
        <v>0</v>
      </c>
      <c r="AQ438" s="34" t="s">
        <v>68</v>
      </c>
      <c r="AV438" s="31">
        <f>ROUND(AW438+AX438,2)</f>
        <v>0</v>
      </c>
      <c r="AW438" s="31">
        <f>ROUND(G438*AO438,2)</f>
        <v>0</v>
      </c>
      <c r="AX438" s="31">
        <f>ROUND(G438*AP438,2)</f>
        <v>0</v>
      </c>
      <c r="AY438" s="34" t="s">
        <v>516</v>
      </c>
      <c r="AZ438" s="34" t="s">
        <v>295</v>
      </c>
      <c r="BA438" s="12" t="s">
        <v>63</v>
      </c>
      <c r="BC438" s="31">
        <f>AW438+AX438</f>
        <v>0</v>
      </c>
      <c r="BD438" s="31">
        <f>H438/(100-BE438)*100</f>
        <v>0</v>
      </c>
      <c r="BE438" s="31">
        <v>0</v>
      </c>
      <c r="BF438" s="31">
        <f>O438</f>
        <v>6.0000000000000008E-5</v>
      </c>
      <c r="BH438" s="31">
        <f>G438*AO438</f>
        <v>0</v>
      </c>
      <c r="BI438" s="31">
        <f>G438*AP438</f>
        <v>0</v>
      </c>
      <c r="BJ438" s="31">
        <f>G438*H438</f>
        <v>0</v>
      </c>
      <c r="BK438" s="34" t="s">
        <v>64</v>
      </c>
      <c r="BL438" s="31"/>
      <c r="BW438" s="31">
        <f>I438</f>
        <v>21</v>
      </c>
      <c r="BX438" s="4" t="s">
        <v>518</v>
      </c>
    </row>
    <row r="439" spans="1:76" x14ac:dyDescent="0.25">
      <c r="A439" s="35"/>
      <c r="D439" s="87" t="s">
        <v>1164</v>
      </c>
      <c r="E439" s="36" t="s">
        <v>53</v>
      </c>
      <c r="G439" s="37">
        <v>6</v>
      </c>
      <c r="P439" s="38"/>
      <c r="BX439" t="s">
        <v>1164</v>
      </c>
    </row>
    <row r="440" spans="1:76" x14ac:dyDescent="0.25">
      <c r="A440" s="2">
        <f>A438+1</f>
        <v>160</v>
      </c>
      <c r="B440" s="3" t="s">
        <v>53</v>
      </c>
      <c r="C440" s="3" t="s">
        <v>519</v>
      </c>
      <c r="D440" s="310" t="s">
        <v>520</v>
      </c>
      <c r="E440" s="307"/>
      <c r="F440" s="3" t="s">
        <v>71</v>
      </c>
      <c r="G440" s="31">
        <v>6.6</v>
      </c>
      <c r="H440" s="31">
        <v>0</v>
      </c>
      <c r="I440" s="32">
        <v>21</v>
      </c>
      <c r="J440" s="31">
        <f>ROUND(G440*AO440,2)</f>
        <v>0</v>
      </c>
      <c r="K440" s="31">
        <f>ROUND(G440*AP440,2)</f>
        <v>0</v>
      </c>
      <c r="L440" s="31">
        <f>ROUND(G440*H440,2)</f>
        <v>0</v>
      </c>
      <c r="M440" s="31">
        <f>L440*(1+BW440/100)</f>
        <v>0</v>
      </c>
      <c r="N440" s="31">
        <v>1.2600000000000001E-3</v>
      </c>
      <c r="O440" s="31">
        <f>G440*N440</f>
        <v>8.3160000000000005E-3</v>
      </c>
      <c r="P440" s="33" t="s">
        <v>60</v>
      </c>
      <c r="Z440" s="31">
        <f>ROUND(IF(AQ440="5",BJ440,0),2)</f>
        <v>0</v>
      </c>
      <c r="AB440" s="31">
        <f>ROUND(IF(AQ440="1",BH440,0),2)</f>
        <v>0</v>
      </c>
      <c r="AC440" s="31">
        <f>ROUND(IF(AQ440="1",BI440,0),2)</f>
        <v>0</v>
      </c>
      <c r="AD440" s="31">
        <f>ROUND(IF(AQ440="7",BH440,0),2)</f>
        <v>0</v>
      </c>
      <c r="AE440" s="31">
        <f>ROUND(IF(AQ440="7",BI440,0),2)</f>
        <v>0</v>
      </c>
      <c r="AF440" s="31">
        <f>ROUND(IF(AQ440="2",BH440,0),2)</f>
        <v>0</v>
      </c>
      <c r="AG440" s="31">
        <f>ROUND(IF(AQ440="2",BI440,0),2)</f>
        <v>0</v>
      </c>
      <c r="AH440" s="31">
        <f>ROUND(IF(AQ440="0",BJ440,0),2)</f>
        <v>0</v>
      </c>
      <c r="AI440" s="12" t="s">
        <v>53</v>
      </c>
      <c r="AJ440" s="31">
        <f>IF(AN440=0,L440,0)</f>
        <v>0</v>
      </c>
      <c r="AK440" s="31">
        <f>IF(AN440=12,L440,0)</f>
        <v>0</v>
      </c>
      <c r="AL440" s="31">
        <f>IF(AN440=21,L440,0)</f>
        <v>0</v>
      </c>
      <c r="AN440" s="31">
        <v>21</v>
      </c>
      <c r="AO440" s="31">
        <f>H440*1</f>
        <v>0</v>
      </c>
      <c r="AP440" s="31">
        <f>H440*(1-1)</f>
        <v>0</v>
      </c>
      <c r="AQ440" s="34" t="s">
        <v>56</v>
      </c>
      <c r="AV440" s="31">
        <f>ROUND(AW440+AX440,2)</f>
        <v>0</v>
      </c>
      <c r="AW440" s="31">
        <f>ROUND(G440*AO440,2)</f>
        <v>0</v>
      </c>
      <c r="AX440" s="31">
        <f>ROUND(G440*AP440,2)</f>
        <v>0</v>
      </c>
      <c r="AY440" s="34" t="s">
        <v>516</v>
      </c>
      <c r="AZ440" s="34" t="s">
        <v>295</v>
      </c>
      <c r="BA440" s="12" t="s">
        <v>63</v>
      </c>
      <c r="BC440" s="31">
        <f>AW440+AX440</f>
        <v>0</v>
      </c>
      <c r="BD440" s="31">
        <f>H440/(100-BE440)*100</f>
        <v>0</v>
      </c>
      <c r="BE440" s="31">
        <v>0</v>
      </c>
      <c r="BF440" s="31">
        <f>O440</f>
        <v>8.3160000000000005E-3</v>
      </c>
      <c r="BH440" s="31">
        <f>G440*AO440</f>
        <v>0</v>
      </c>
      <c r="BI440" s="31">
        <f>G440*AP440</f>
        <v>0</v>
      </c>
      <c r="BJ440" s="31">
        <f>G440*H440</f>
        <v>0</v>
      </c>
      <c r="BK440" s="34" t="s">
        <v>203</v>
      </c>
      <c r="BL440" s="31"/>
      <c r="BW440" s="31">
        <f>I440</f>
        <v>21</v>
      </c>
      <c r="BX440" s="4" t="s">
        <v>520</v>
      </c>
    </row>
    <row r="441" spans="1:76" x14ac:dyDescent="0.25">
      <c r="A441" s="35"/>
      <c r="D441" s="87" t="s">
        <v>1163</v>
      </c>
      <c r="E441" s="36" t="s">
        <v>53</v>
      </c>
      <c r="G441" s="37">
        <v>6.6000000000000005</v>
      </c>
      <c r="P441" s="38"/>
      <c r="BX441" t="s">
        <v>1163</v>
      </c>
    </row>
    <row r="442" spans="1:76" ht="25.5" x14ac:dyDescent="0.25">
      <c r="A442" s="2">
        <f>A440+1</f>
        <v>161</v>
      </c>
      <c r="B442" s="3" t="s">
        <v>53</v>
      </c>
      <c r="C442" s="3" t="s">
        <v>501</v>
      </c>
      <c r="D442" s="310" t="s">
        <v>873</v>
      </c>
      <c r="E442" s="307"/>
      <c r="F442" s="3" t="s">
        <v>134</v>
      </c>
      <c r="G442" s="31">
        <v>8</v>
      </c>
      <c r="H442" s="31">
        <v>0</v>
      </c>
      <c r="I442" s="32">
        <v>21</v>
      </c>
      <c r="J442" s="31">
        <f>ROUND(G442*AO442,2)</f>
        <v>0</v>
      </c>
      <c r="K442" s="31">
        <f>ROUND(G442*AP442,2)</f>
        <v>0</v>
      </c>
      <c r="L442" s="31">
        <f>ROUND(G442*H442,2)</f>
        <v>0</v>
      </c>
      <c r="M442" s="31">
        <f>L442*(1+BW442/100)</f>
        <v>0</v>
      </c>
      <c r="N442" s="31">
        <v>7.7999999999999996E-3</v>
      </c>
      <c r="O442" s="31">
        <f>G442*N442</f>
        <v>6.2399999999999997E-2</v>
      </c>
      <c r="P442" s="33" t="s">
        <v>53</v>
      </c>
      <c r="Z442" s="31">
        <f>ROUND(IF(AQ442="5",BJ442,0),2)</f>
        <v>0</v>
      </c>
      <c r="AB442" s="31">
        <f>ROUND(IF(AQ442="1",BH442,0),2)</f>
        <v>0</v>
      </c>
      <c r="AC442" s="31">
        <f>ROUND(IF(AQ442="1",BI442,0),2)</f>
        <v>0</v>
      </c>
      <c r="AD442" s="31">
        <f>ROUND(IF(AQ442="7",BH442,0),2)</f>
        <v>0</v>
      </c>
      <c r="AE442" s="31">
        <f>ROUND(IF(AQ442="7",BI442,0),2)</f>
        <v>0</v>
      </c>
      <c r="AF442" s="31">
        <f>ROUND(IF(AQ442="2",BH442,0),2)</f>
        <v>0</v>
      </c>
      <c r="AG442" s="31">
        <f>ROUND(IF(AQ442="2",BI442,0),2)</f>
        <v>0</v>
      </c>
      <c r="AH442" s="31">
        <f>ROUND(IF(AQ442="0",BJ442,0),2)</f>
        <v>0</v>
      </c>
      <c r="AI442" s="12" t="s">
        <v>53</v>
      </c>
      <c r="AJ442" s="31">
        <f>IF(AN442=0,L442,0)</f>
        <v>0</v>
      </c>
      <c r="AK442" s="31">
        <f>IF(AN442=12,L442,0)</f>
        <v>0</v>
      </c>
      <c r="AL442" s="31">
        <f>IF(AN442=21,L442,0)</f>
        <v>0</v>
      </c>
      <c r="AN442" s="31">
        <v>21</v>
      </c>
      <c r="AO442" s="31">
        <f>H442*1</f>
        <v>0</v>
      </c>
      <c r="AP442" s="31">
        <f>H442*(1-1)</f>
        <v>0</v>
      </c>
      <c r="AQ442" s="34" t="s">
        <v>56</v>
      </c>
      <c r="AV442" s="31">
        <f>ROUND(AW442+AX442,2)</f>
        <v>0</v>
      </c>
      <c r="AW442" s="31">
        <f>ROUND(G442*AO442,2)</f>
        <v>0</v>
      </c>
      <c r="AX442" s="31">
        <f>ROUND(G442*AP442,2)</f>
        <v>0</v>
      </c>
      <c r="AY442" s="34" t="s">
        <v>392</v>
      </c>
      <c r="AZ442" s="34" t="s">
        <v>295</v>
      </c>
      <c r="BA442" s="12" t="s">
        <v>63</v>
      </c>
      <c r="BC442" s="31">
        <f>AW442+AX442</f>
        <v>0</v>
      </c>
      <c r="BD442" s="31">
        <f>H442/(100-BE442)*100</f>
        <v>0</v>
      </c>
      <c r="BE442" s="31">
        <v>0</v>
      </c>
      <c r="BF442" s="31">
        <f>O442</f>
        <v>6.2399999999999997E-2</v>
      </c>
      <c r="BH442" s="31">
        <f>G442*AO442</f>
        <v>0</v>
      </c>
      <c r="BI442" s="31">
        <f>G442*AP442</f>
        <v>0</v>
      </c>
      <c r="BJ442" s="31">
        <f>G442*H442</f>
        <v>0</v>
      </c>
      <c r="BK442" s="34" t="s">
        <v>203</v>
      </c>
      <c r="BL442" s="31"/>
      <c r="BW442" s="31">
        <f>I442</f>
        <v>21</v>
      </c>
      <c r="BX442" s="4" t="s">
        <v>873</v>
      </c>
    </row>
    <row r="443" spans="1:76" x14ac:dyDescent="0.25">
      <c r="A443" s="35"/>
      <c r="D443" s="87" t="s">
        <v>852</v>
      </c>
      <c r="E443" s="36" t="s">
        <v>53</v>
      </c>
      <c r="G443" s="37">
        <v>8</v>
      </c>
      <c r="P443" s="38"/>
      <c r="BX443" t="s">
        <v>852</v>
      </c>
    </row>
    <row r="444" spans="1:76" s="106" customFormat="1" x14ac:dyDescent="0.25">
      <c r="A444" s="88">
        <f>A442+1</f>
        <v>162</v>
      </c>
      <c r="B444" s="89" t="s">
        <v>53</v>
      </c>
      <c r="C444" s="89" t="s">
        <v>654</v>
      </c>
      <c r="D444" s="370" t="s">
        <v>872</v>
      </c>
      <c r="E444" s="371"/>
      <c r="F444" s="202" t="s">
        <v>134</v>
      </c>
      <c r="G444" s="203">
        <v>4</v>
      </c>
      <c r="H444" s="203">
        <v>0</v>
      </c>
      <c r="I444" s="98">
        <v>21</v>
      </c>
      <c r="J444" s="97">
        <f>ROUND(G444*AO444,2)</f>
        <v>0</v>
      </c>
      <c r="K444" s="97">
        <f>ROUND(G444*AP444,2)</f>
        <v>0</v>
      </c>
      <c r="L444" s="97">
        <f>ROUND(G444*H444,2)</f>
        <v>0</v>
      </c>
      <c r="M444" s="97">
        <f>L444*(1+BW444/100)</f>
        <v>0</v>
      </c>
      <c r="N444" s="97">
        <v>1.5E-3</v>
      </c>
      <c r="O444" s="97">
        <f>G444*N444</f>
        <v>6.0000000000000001E-3</v>
      </c>
      <c r="P444" s="99" t="s">
        <v>53</v>
      </c>
      <c r="Z444" s="97">
        <f>ROUND(IF(AQ444="5",BJ444,0),2)</f>
        <v>0</v>
      </c>
      <c r="AB444" s="97">
        <f>ROUND(IF(AQ444="1",BH444,0),2)</f>
        <v>0</v>
      </c>
      <c r="AC444" s="97">
        <f>ROUND(IF(AQ444="1",BI444,0),2)</f>
        <v>0</v>
      </c>
      <c r="AD444" s="97">
        <f>ROUND(IF(AQ444="7",BH444,0),2)</f>
        <v>0</v>
      </c>
      <c r="AE444" s="97">
        <f>ROUND(IF(AQ444="7",BI444,0),2)</f>
        <v>0</v>
      </c>
      <c r="AF444" s="97">
        <f>ROUND(IF(AQ444="2",BH444,0),2)</f>
        <v>0</v>
      </c>
      <c r="AG444" s="97">
        <f>ROUND(IF(AQ444="2",BI444,0),2)</f>
        <v>0</v>
      </c>
      <c r="AH444" s="97">
        <f>ROUND(IF(AQ444="0",BJ444,0),2)</f>
        <v>0</v>
      </c>
      <c r="AI444" s="100" t="s">
        <v>53</v>
      </c>
      <c r="AJ444" s="97">
        <f>IF(AN444=0,L444,0)</f>
        <v>0</v>
      </c>
      <c r="AK444" s="97">
        <f>IF(AN444=12,L444,0)</f>
        <v>0</v>
      </c>
      <c r="AL444" s="97">
        <f>IF(AN444=21,L444,0)</f>
        <v>0</v>
      </c>
      <c r="AN444" s="97">
        <v>21</v>
      </c>
      <c r="AO444" s="97">
        <f>H444*1</f>
        <v>0</v>
      </c>
      <c r="AP444" s="97">
        <f>H444*(1-1)</f>
        <v>0</v>
      </c>
      <c r="AQ444" s="101" t="s">
        <v>56</v>
      </c>
      <c r="AV444" s="97">
        <f>ROUND(AW444+AX444,2)</f>
        <v>0</v>
      </c>
      <c r="AW444" s="97">
        <f>ROUND(G444*AO444,2)</f>
        <v>0</v>
      </c>
      <c r="AX444" s="97">
        <f>ROUND(G444*AP444,2)</f>
        <v>0</v>
      </c>
      <c r="AY444" s="101" t="s">
        <v>392</v>
      </c>
      <c r="AZ444" s="101" t="s">
        <v>295</v>
      </c>
      <c r="BA444" s="100" t="s">
        <v>63</v>
      </c>
      <c r="BC444" s="97">
        <f>AW444+AX444</f>
        <v>0</v>
      </c>
      <c r="BD444" s="97">
        <f>H444/(100-BE444)*100</f>
        <v>0</v>
      </c>
      <c r="BE444" s="97">
        <v>0</v>
      </c>
      <c r="BF444" s="97">
        <f>O444</f>
        <v>6.0000000000000001E-3</v>
      </c>
      <c r="BH444" s="97">
        <f>G444*AO444</f>
        <v>0</v>
      </c>
      <c r="BI444" s="97">
        <f>G444*AP444</f>
        <v>0</v>
      </c>
      <c r="BJ444" s="97">
        <f>G444*H444</f>
        <v>0</v>
      </c>
      <c r="BK444" s="101" t="s">
        <v>203</v>
      </c>
      <c r="BL444" s="97"/>
      <c r="BW444" s="97">
        <f>I444</f>
        <v>21</v>
      </c>
      <c r="BX444" s="96" t="s">
        <v>872</v>
      </c>
    </row>
    <row r="445" spans="1:76" x14ac:dyDescent="0.25">
      <c r="A445" s="2">
        <f>A444+1</f>
        <v>163</v>
      </c>
      <c r="B445" s="3" t="s">
        <v>53</v>
      </c>
      <c r="C445" s="3" t="s">
        <v>521</v>
      </c>
      <c r="D445" s="378" t="s">
        <v>522</v>
      </c>
      <c r="E445" s="379"/>
      <c r="F445" s="3" t="s">
        <v>134</v>
      </c>
      <c r="G445" s="31">
        <v>48</v>
      </c>
      <c r="H445" s="31">
        <v>0</v>
      </c>
      <c r="I445" s="32">
        <v>21</v>
      </c>
      <c r="J445" s="31">
        <f>ROUND(G445*AO445,2)</f>
        <v>0</v>
      </c>
      <c r="K445" s="31">
        <f>ROUND(G445*AP445,2)</f>
        <v>0</v>
      </c>
      <c r="L445" s="31">
        <f>ROUND(G445*H445,2)</f>
        <v>0</v>
      </c>
      <c r="M445" s="31">
        <f>L445*(1+BW445/100)</f>
        <v>0</v>
      </c>
      <c r="N445" s="31">
        <v>6.4000000000000005E-4</v>
      </c>
      <c r="O445" s="31">
        <f>G445*N445</f>
        <v>3.0720000000000004E-2</v>
      </c>
      <c r="P445" s="33" t="s">
        <v>60</v>
      </c>
      <c r="Z445" s="31">
        <f>ROUND(IF(AQ445="5",BJ445,0),2)</f>
        <v>0</v>
      </c>
      <c r="AB445" s="31">
        <f>ROUND(IF(AQ445="1",BH445,0),2)</f>
        <v>0</v>
      </c>
      <c r="AC445" s="31">
        <f>ROUND(IF(AQ445="1",BI445,0),2)</f>
        <v>0</v>
      </c>
      <c r="AD445" s="31">
        <f>ROUND(IF(AQ445="7",BH445,0),2)</f>
        <v>0</v>
      </c>
      <c r="AE445" s="31">
        <f>ROUND(IF(AQ445="7",BI445,0),2)</f>
        <v>0</v>
      </c>
      <c r="AF445" s="31">
        <f>ROUND(IF(AQ445="2",BH445,0),2)</f>
        <v>0</v>
      </c>
      <c r="AG445" s="31">
        <f>ROUND(IF(AQ445="2",BI445,0),2)</f>
        <v>0</v>
      </c>
      <c r="AH445" s="31">
        <f>ROUND(IF(AQ445="0",BJ445,0),2)</f>
        <v>0</v>
      </c>
      <c r="AI445" s="12" t="s">
        <v>53</v>
      </c>
      <c r="AJ445" s="31">
        <f>IF(AN445=0,L445,0)</f>
        <v>0</v>
      </c>
      <c r="AK445" s="31">
        <f>IF(AN445=12,L445,0)</f>
        <v>0</v>
      </c>
      <c r="AL445" s="31">
        <f>IF(AN445=21,L445,0)</f>
        <v>0</v>
      </c>
      <c r="AN445" s="31">
        <v>21</v>
      </c>
      <c r="AO445" s="31">
        <f>H445*0.113957307</f>
        <v>0</v>
      </c>
      <c r="AP445" s="31">
        <f>H445*(1-0.113957307)</f>
        <v>0</v>
      </c>
      <c r="AQ445" s="34" t="s">
        <v>68</v>
      </c>
      <c r="AV445" s="31">
        <f>ROUND(AW445+AX445,2)</f>
        <v>0</v>
      </c>
      <c r="AW445" s="31">
        <f>ROUND(G445*AO445,2)</f>
        <v>0</v>
      </c>
      <c r="AX445" s="31">
        <f>ROUND(G445*AP445,2)</f>
        <v>0</v>
      </c>
      <c r="AY445" s="34" t="s">
        <v>516</v>
      </c>
      <c r="AZ445" s="34" t="s">
        <v>295</v>
      </c>
      <c r="BA445" s="12" t="s">
        <v>63</v>
      </c>
      <c r="BC445" s="31">
        <f>AW445+AX445</f>
        <v>0</v>
      </c>
      <c r="BD445" s="31">
        <f>H445/(100-BE445)*100</f>
        <v>0</v>
      </c>
      <c r="BE445" s="31">
        <v>0</v>
      </c>
      <c r="BF445" s="31">
        <f>O445</f>
        <v>3.0720000000000004E-2</v>
      </c>
      <c r="BH445" s="31">
        <f>G445*AO445</f>
        <v>0</v>
      </c>
      <c r="BI445" s="31">
        <f>G445*AP445</f>
        <v>0</v>
      </c>
      <c r="BJ445" s="31">
        <f>G445*H445</f>
        <v>0</v>
      </c>
      <c r="BK445" s="34" t="s">
        <v>64</v>
      </c>
      <c r="BL445" s="31"/>
      <c r="BW445" s="31">
        <f>I445</f>
        <v>21</v>
      </c>
      <c r="BX445" s="4" t="s">
        <v>522</v>
      </c>
    </row>
    <row r="446" spans="1:76" x14ac:dyDescent="0.25">
      <c r="A446" s="35"/>
      <c r="D446" s="87" t="s">
        <v>1162</v>
      </c>
      <c r="E446" s="36" t="s">
        <v>53</v>
      </c>
      <c r="G446" s="37">
        <v>3</v>
      </c>
      <c r="P446" s="38"/>
      <c r="BX446" t="s">
        <v>1162</v>
      </c>
    </row>
    <row r="447" spans="1:76" x14ac:dyDescent="0.25">
      <c r="A447" s="35"/>
      <c r="D447" s="87" t="s">
        <v>523</v>
      </c>
      <c r="E447" s="36" t="s">
        <v>53</v>
      </c>
      <c r="G447" s="37">
        <v>1</v>
      </c>
      <c r="P447" s="38"/>
      <c r="BX447" t="s">
        <v>523</v>
      </c>
    </row>
    <row r="448" spans="1:76" x14ac:dyDescent="0.25">
      <c r="A448" s="35"/>
      <c r="D448" s="87" t="s">
        <v>524</v>
      </c>
      <c r="E448" s="36" t="s">
        <v>53</v>
      </c>
      <c r="G448" s="37">
        <v>1</v>
      </c>
      <c r="P448" s="38"/>
      <c r="BX448" t="s">
        <v>524</v>
      </c>
    </row>
    <row r="449" spans="1:76" x14ac:dyDescent="0.25">
      <c r="A449" s="35"/>
      <c r="D449" s="87" t="s">
        <v>525</v>
      </c>
      <c r="E449" s="36" t="s">
        <v>53</v>
      </c>
      <c r="G449" s="37">
        <v>1</v>
      </c>
      <c r="P449" s="38"/>
      <c r="BX449" t="s">
        <v>525</v>
      </c>
    </row>
    <row r="450" spans="1:76" x14ac:dyDescent="0.25">
      <c r="A450" s="35"/>
      <c r="D450" s="87" t="s">
        <v>526</v>
      </c>
      <c r="E450" s="36" t="s">
        <v>53</v>
      </c>
      <c r="G450" s="37">
        <v>4</v>
      </c>
      <c r="P450" s="38"/>
      <c r="BX450" t="s">
        <v>526</v>
      </c>
    </row>
    <row r="451" spans="1:76" x14ac:dyDescent="0.25">
      <c r="A451" s="35"/>
      <c r="D451" s="87" t="s">
        <v>854</v>
      </c>
      <c r="E451" s="36" t="s">
        <v>53</v>
      </c>
      <c r="G451" s="37">
        <v>14</v>
      </c>
      <c r="P451" s="38"/>
      <c r="BX451" t="s">
        <v>854</v>
      </c>
    </row>
    <row r="452" spans="1:76" x14ac:dyDescent="0.25">
      <c r="A452" s="35"/>
      <c r="D452" s="87" t="s">
        <v>849</v>
      </c>
      <c r="E452" s="36" t="s">
        <v>53</v>
      </c>
      <c r="G452" s="37">
        <v>2</v>
      </c>
      <c r="P452" s="38"/>
      <c r="BX452" t="s">
        <v>849</v>
      </c>
    </row>
    <row r="453" spans="1:76" x14ac:dyDescent="0.25">
      <c r="A453" s="91"/>
      <c r="D453" s="87" t="s">
        <v>845</v>
      </c>
      <c r="E453" s="92"/>
      <c r="G453" s="37">
        <v>4</v>
      </c>
      <c r="P453" s="93"/>
      <c r="BX453" t="s">
        <v>845</v>
      </c>
    </row>
    <row r="454" spans="1:76" x14ac:dyDescent="0.25">
      <c r="A454" s="35"/>
      <c r="D454" s="87" t="s">
        <v>1161</v>
      </c>
      <c r="E454" s="36" t="s">
        <v>53</v>
      </c>
      <c r="G454" s="37">
        <v>4</v>
      </c>
      <c r="P454" s="38"/>
      <c r="BX454" t="s">
        <v>1161</v>
      </c>
    </row>
    <row r="455" spans="1:76" x14ac:dyDescent="0.25">
      <c r="A455" s="35"/>
      <c r="D455" s="87" t="s">
        <v>853</v>
      </c>
      <c r="E455" s="36" t="s">
        <v>53</v>
      </c>
      <c r="G455" s="37">
        <v>8</v>
      </c>
      <c r="P455" s="38"/>
      <c r="BX455" t="s">
        <v>853</v>
      </c>
    </row>
    <row r="456" spans="1:76" x14ac:dyDescent="0.25">
      <c r="A456" s="35"/>
      <c r="D456" s="87" t="s">
        <v>1159</v>
      </c>
      <c r="E456" s="36" t="s">
        <v>53</v>
      </c>
      <c r="G456" s="37">
        <v>4</v>
      </c>
      <c r="P456" s="38"/>
      <c r="BX456" t="s">
        <v>1159</v>
      </c>
    </row>
    <row r="457" spans="1:76" x14ac:dyDescent="0.25">
      <c r="A457" s="35"/>
      <c r="D457" s="87" t="s">
        <v>527</v>
      </c>
      <c r="E457" s="36" t="s">
        <v>53</v>
      </c>
      <c r="G457" s="37">
        <v>1</v>
      </c>
      <c r="P457" s="38"/>
      <c r="BX457" t="s">
        <v>527</v>
      </c>
    </row>
    <row r="458" spans="1:76" x14ac:dyDescent="0.25">
      <c r="A458" s="35"/>
      <c r="D458" s="87" t="s">
        <v>528</v>
      </c>
      <c r="E458" s="36" t="s">
        <v>53</v>
      </c>
      <c r="G458" s="37">
        <v>1</v>
      </c>
      <c r="P458" s="38"/>
      <c r="BX458" t="s">
        <v>528</v>
      </c>
    </row>
    <row r="459" spans="1:76" x14ac:dyDescent="0.25">
      <c r="A459" s="2">
        <f>A445+1</f>
        <v>164</v>
      </c>
      <c r="B459" s="3" t="s">
        <v>53</v>
      </c>
      <c r="C459" s="3" t="s">
        <v>466</v>
      </c>
      <c r="D459" s="310" t="s">
        <v>822</v>
      </c>
      <c r="E459" s="307"/>
      <c r="F459" s="3" t="s">
        <v>134</v>
      </c>
      <c r="G459" s="31">
        <v>3</v>
      </c>
      <c r="H459" s="31">
        <v>0</v>
      </c>
      <c r="I459" s="32">
        <v>21</v>
      </c>
      <c r="J459" s="31">
        <f>ROUND(G459*AO459,2)</f>
        <v>0</v>
      </c>
      <c r="K459" s="31">
        <f>ROUND(G459*AP459,2)</f>
        <v>0</v>
      </c>
      <c r="L459" s="31">
        <f>ROUND(G459*H459,2)</f>
        <v>0</v>
      </c>
      <c r="M459" s="31">
        <f>L459*(1+BW459/100)</f>
        <v>0</v>
      </c>
      <c r="N459" s="31">
        <v>5.3E-3</v>
      </c>
      <c r="O459" s="31">
        <f>G459*N459</f>
        <v>1.5900000000000001E-2</v>
      </c>
      <c r="P459" s="33" t="s">
        <v>53</v>
      </c>
      <c r="Z459" s="31">
        <f>ROUND(IF(AQ459="5",BJ459,0),2)</f>
        <v>0</v>
      </c>
      <c r="AB459" s="31">
        <f>ROUND(IF(AQ459="1",BH459,0),2)</f>
        <v>0</v>
      </c>
      <c r="AC459" s="31">
        <f>ROUND(IF(AQ459="1",BI459,0),2)</f>
        <v>0</v>
      </c>
      <c r="AD459" s="31">
        <f>ROUND(IF(AQ459="7",BH459,0),2)</f>
        <v>0</v>
      </c>
      <c r="AE459" s="31">
        <f>ROUND(IF(AQ459="7",BI459,0),2)</f>
        <v>0</v>
      </c>
      <c r="AF459" s="31">
        <f>ROUND(IF(AQ459="2",BH459,0),2)</f>
        <v>0</v>
      </c>
      <c r="AG459" s="31">
        <f>ROUND(IF(AQ459="2",BI459,0),2)</f>
        <v>0</v>
      </c>
      <c r="AH459" s="31">
        <f>ROUND(IF(AQ459="0",BJ459,0),2)</f>
        <v>0</v>
      </c>
      <c r="AI459" s="12" t="s">
        <v>53</v>
      </c>
      <c r="AJ459" s="31">
        <f>IF(AN459=0,L459,0)</f>
        <v>0</v>
      </c>
      <c r="AK459" s="31">
        <f>IF(AN459=12,L459,0)</f>
        <v>0</v>
      </c>
      <c r="AL459" s="31">
        <f>IF(AN459=21,L459,0)</f>
        <v>0</v>
      </c>
      <c r="AN459" s="31">
        <v>21</v>
      </c>
      <c r="AO459" s="31">
        <f>H459*1</f>
        <v>0</v>
      </c>
      <c r="AP459" s="31">
        <f>H459*(1-1)</f>
        <v>0</v>
      </c>
      <c r="AQ459" s="34" t="s">
        <v>56</v>
      </c>
      <c r="AV459" s="31">
        <f>ROUND(AW459+AX459,2)</f>
        <v>0</v>
      </c>
      <c r="AW459" s="31">
        <f>ROUND(G459*AO459,2)</f>
        <v>0</v>
      </c>
      <c r="AX459" s="31">
        <f>ROUND(G459*AP459,2)</f>
        <v>0</v>
      </c>
      <c r="AY459" s="34" t="s">
        <v>516</v>
      </c>
      <c r="AZ459" s="34" t="s">
        <v>295</v>
      </c>
      <c r="BA459" s="12" t="s">
        <v>63</v>
      </c>
      <c r="BC459" s="31">
        <f>AW459+AX459</f>
        <v>0</v>
      </c>
      <c r="BD459" s="31">
        <f>H459/(100-BE459)*100</f>
        <v>0</v>
      </c>
      <c r="BE459" s="31">
        <v>0</v>
      </c>
      <c r="BF459" s="31">
        <f>O459</f>
        <v>1.5900000000000001E-2</v>
      </c>
      <c r="BH459" s="31">
        <f>G459*AO459</f>
        <v>0</v>
      </c>
      <c r="BI459" s="31">
        <f>G459*AP459</f>
        <v>0</v>
      </c>
      <c r="BJ459" s="31">
        <f>G459*H459</f>
        <v>0</v>
      </c>
      <c r="BK459" s="34" t="s">
        <v>203</v>
      </c>
      <c r="BL459" s="31"/>
      <c r="BW459" s="31">
        <f>I459</f>
        <v>21</v>
      </c>
      <c r="BX459" s="4" t="s">
        <v>822</v>
      </c>
    </row>
    <row r="460" spans="1:76" x14ac:dyDescent="0.25">
      <c r="A460" s="35"/>
      <c r="D460" s="87" t="s">
        <v>1166</v>
      </c>
      <c r="E460" s="36" t="s">
        <v>53</v>
      </c>
      <c r="G460" s="37">
        <v>3</v>
      </c>
      <c r="P460" s="38"/>
      <c r="BX460" t="s">
        <v>1166</v>
      </c>
    </row>
    <row r="461" spans="1:76" x14ac:dyDescent="0.25">
      <c r="A461" s="2">
        <f>A459+1</f>
        <v>165</v>
      </c>
      <c r="B461" s="3" t="s">
        <v>53</v>
      </c>
      <c r="C461" s="3" t="s">
        <v>529</v>
      </c>
      <c r="D461" s="378" t="s">
        <v>831</v>
      </c>
      <c r="E461" s="379"/>
      <c r="F461" s="285" t="s">
        <v>134</v>
      </c>
      <c r="G461" s="287">
        <v>1</v>
      </c>
      <c r="H461" s="31">
        <v>0</v>
      </c>
      <c r="I461" s="32">
        <v>21</v>
      </c>
      <c r="J461" s="31">
        <f>ROUND(G461*AO461,2)</f>
        <v>0</v>
      </c>
      <c r="K461" s="31">
        <f>ROUND(G461*AP461,2)</f>
        <v>0</v>
      </c>
      <c r="L461" s="31">
        <f>ROUND(G461*H461,2)</f>
        <v>0</v>
      </c>
      <c r="M461" s="31">
        <f>L461*(1+BW461/100)</f>
        <v>0</v>
      </c>
      <c r="N461" s="31">
        <v>1.129E-2</v>
      </c>
      <c r="O461" s="31">
        <f>G461*N461</f>
        <v>1.129E-2</v>
      </c>
      <c r="P461" s="33" t="s">
        <v>53</v>
      </c>
      <c r="Z461" s="31">
        <f>ROUND(IF(AQ461="5",BJ461,0),2)</f>
        <v>0</v>
      </c>
      <c r="AB461" s="31">
        <f>ROUND(IF(AQ461="1",BH461,0),2)</f>
        <v>0</v>
      </c>
      <c r="AC461" s="31">
        <f>ROUND(IF(AQ461="1",BI461,0),2)</f>
        <v>0</v>
      </c>
      <c r="AD461" s="31">
        <f>ROUND(IF(AQ461="7",BH461,0),2)</f>
        <v>0</v>
      </c>
      <c r="AE461" s="31">
        <f>ROUND(IF(AQ461="7",BI461,0),2)</f>
        <v>0</v>
      </c>
      <c r="AF461" s="31">
        <f>ROUND(IF(AQ461="2",BH461,0),2)</f>
        <v>0</v>
      </c>
      <c r="AG461" s="31">
        <f>ROUND(IF(AQ461="2",BI461,0),2)</f>
        <v>0</v>
      </c>
      <c r="AH461" s="31">
        <f>ROUND(IF(AQ461="0",BJ461,0),2)</f>
        <v>0</v>
      </c>
      <c r="AI461" s="12" t="s">
        <v>53</v>
      </c>
      <c r="AJ461" s="31">
        <f>IF(AN461=0,L461,0)</f>
        <v>0</v>
      </c>
      <c r="AK461" s="31">
        <f>IF(AN461=12,L461,0)</f>
        <v>0</v>
      </c>
      <c r="AL461" s="31">
        <f>IF(AN461=21,L461,0)</f>
        <v>0</v>
      </c>
      <c r="AN461" s="31">
        <v>21</v>
      </c>
      <c r="AO461" s="31">
        <f>H461*1</f>
        <v>0</v>
      </c>
      <c r="AP461" s="31">
        <f>H461*(1-1)</f>
        <v>0</v>
      </c>
      <c r="AQ461" s="34" t="s">
        <v>56</v>
      </c>
      <c r="AV461" s="31">
        <f>ROUND(AW461+AX461,2)</f>
        <v>0</v>
      </c>
      <c r="AW461" s="31">
        <f>ROUND(G461*AO461,2)</f>
        <v>0</v>
      </c>
      <c r="AX461" s="31">
        <f>ROUND(G461*AP461,2)</f>
        <v>0</v>
      </c>
      <c r="AY461" s="34" t="s">
        <v>516</v>
      </c>
      <c r="AZ461" s="34" t="s">
        <v>295</v>
      </c>
      <c r="BA461" s="12" t="s">
        <v>63</v>
      </c>
      <c r="BC461" s="31">
        <f>AW461+AX461</f>
        <v>0</v>
      </c>
      <c r="BD461" s="31">
        <f>H461/(100-BE461)*100</f>
        <v>0</v>
      </c>
      <c r="BE461" s="31">
        <v>0</v>
      </c>
      <c r="BF461" s="31">
        <f>O461</f>
        <v>1.129E-2</v>
      </c>
      <c r="BH461" s="31">
        <f>G461*AO461</f>
        <v>0</v>
      </c>
      <c r="BI461" s="31">
        <f>G461*AP461</f>
        <v>0</v>
      </c>
      <c r="BJ461" s="31">
        <f>G461*H461</f>
        <v>0</v>
      </c>
      <c r="BK461" s="34" t="s">
        <v>203</v>
      </c>
      <c r="BL461" s="31"/>
      <c r="BW461" s="31">
        <f>I461</f>
        <v>21</v>
      </c>
      <c r="BX461" s="4" t="s">
        <v>831</v>
      </c>
    </row>
    <row r="462" spans="1:76" x14ac:dyDescent="0.25">
      <c r="A462" s="35"/>
      <c r="C462" s="3"/>
      <c r="D462" s="87" t="s">
        <v>833</v>
      </c>
      <c r="E462" s="36" t="s">
        <v>53</v>
      </c>
      <c r="G462" s="37">
        <v>1</v>
      </c>
      <c r="P462" s="38"/>
      <c r="BX462" t="s">
        <v>833</v>
      </c>
    </row>
    <row r="463" spans="1:76" x14ac:dyDescent="0.25">
      <c r="A463" s="2">
        <f>A461+1</f>
        <v>166</v>
      </c>
      <c r="B463" s="3" t="s">
        <v>53</v>
      </c>
      <c r="C463" s="3" t="s">
        <v>829</v>
      </c>
      <c r="D463" s="378" t="s">
        <v>830</v>
      </c>
      <c r="E463" s="379"/>
      <c r="F463" s="285" t="s">
        <v>134</v>
      </c>
      <c r="G463" s="287">
        <v>1</v>
      </c>
      <c r="H463" s="31">
        <v>0</v>
      </c>
      <c r="I463" s="32">
        <v>21</v>
      </c>
      <c r="J463" s="31">
        <f>ROUND(G463*AO463,2)</f>
        <v>0</v>
      </c>
      <c r="K463" s="31">
        <f>ROUND(G463*AP463,2)</f>
        <v>0</v>
      </c>
      <c r="L463" s="31">
        <f>ROUND(G463*H463,2)</f>
        <v>0</v>
      </c>
      <c r="M463" s="31">
        <f>L463*(1+BW463/100)</f>
        <v>0</v>
      </c>
      <c r="N463" s="31">
        <v>1.129E-2</v>
      </c>
      <c r="O463" s="31">
        <f>G463*N463</f>
        <v>1.129E-2</v>
      </c>
      <c r="P463" s="33" t="s">
        <v>53</v>
      </c>
      <c r="Z463" s="31">
        <f>ROUND(IF(AQ463="5",BJ463,0),2)</f>
        <v>0</v>
      </c>
      <c r="AB463" s="31">
        <f>ROUND(IF(AQ463="1",BH463,0),2)</f>
        <v>0</v>
      </c>
      <c r="AC463" s="31">
        <f>ROUND(IF(AQ463="1",BI463,0),2)</f>
        <v>0</v>
      </c>
      <c r="AD463" s="31">
        <f>ROUND(IF(AQ463="7",BH463,0),2)</f>
        <v>0</v>
      </c>
      <c r="AE463" s="31">
        <f>ROUND(IF(AQ463="7",BI463,0),2)</f>
        <v>0</v>
      </c>
      <c r="AF463" s="31">
        <f>ROUND(IF(AQ463="2",BH463,0),2)</f>
        <v>0</v>
      </c>
      <c r="AG463" s="31">
        <f>ROUND(IF(AQ463="2",BI463,0),2)</f>
        <v>0</v>
      </c>
      <c r="AH463" s="31">
        <f>ROUND(IF(AQ463="0",BJ463,0),2)</f>
        <v>0</v>
      </c>
      <c r="AI463" s="12" t="s">
        <v>53</v>
      </c>
      <c r="AJ463" s="31">
        <f>IF(AN463=0,L463,0)</f>
        <v>0</v>
      </c>
      <c r="AK463" s="31">
        <f>IF(AN463=12,L463,0)</f>
        <v>0</v>
      </c>
      <c r="AL463" s="31">
        <f>IF(AN463=21,L463,0)</f>
        <v>0</v>
      </c>
      <c r="AN463" s="31">
        <v>21</v>
      </c>
      <c r="AO463" s="31">
        <f>H463*1</f>
        <v>0</v>
      </c>
      <c r="AP463" s="31">
        <f>H463*(1-1)</f>
        <v>0</v>
      </c>
      <c r="AQ463" s="34" t="s">
        <v>56</v>
      </c>
      <c r="AV463" s="31">
        <f>ROUND(AW463+AX463,2)</f>
        <v>0</v>
      </c>
      <c r="AW463" s="31">
        <f>ROUND(G463*AO463,2)</f>
        <v>0</v>
      </c>
      <c r="AX463" s="31">
        <f>ROUND(G463*AP463,2)</f>
        <v>0</v>
      </c>
      <c r="AY463" s="34" t="s">
        <v>516</v>
      </c>
      <c r="AZ463" s="34" t="s">
        <v>295</v>
      </c>
      <c r="BA463" s="12" t="s">
        <v>63</v>
      </c>
      <c r="BC463" s="31">
        <f>AW463+AX463</f>
        <v>0</v>
      </c>
      <c r="BD463" s="31">
        <f>H463/(100-BE463)*100</f>
        <v>0</v>
      </c>
      <c r="BE463" s="31">
        <v>0</v>
      </c>
      <c r="BF463" s="31">
        <f>O463</f>
        <v>1.129E-2</v>
      </c>
      <c r="BH463" s="31">
        <f>G463*AO463</f>
        <v>0</v>
      </c>
      <c r="BI463" s="31">
        <f>G463*AP463</f>
        <v>0</v>
      </c>
      <c r="BJ463" s="31">
        <f>G463*H463</f>
        <v>0</v>
      </c>
      <c r="BK463" s="34" t="s">
        <v>203</v>
      </c>
      <c r="BL463" s="31"/>
      <c r="BW463" s="31">
        <f>I463</f>
        <v>21</v>
      </c>
      <c r="BX463" s="4" t="s">
        <v>830</v>
      </c>
    </row>
    <row r="464" spans="1:76" x14ac:dyDescent="0.25">
      <c r="A464" s="35"/>
      <c r="D464" s="87" t="s">
        <v>832</v>
      </c>
      <c r="E464" s="36" t="s">
        <v>53</v>
      </c>
      <c r="G464" s="37">
        <v>1</v>
      </c>
      <c r="P464" s="38"/>
      <c r="BX464" t="s">
        <v>832</v>
      </c>
    </row>
    <row r="465" spans="1:76" x14ac:dyDescent="0.25">
      <c r="A465" s="2">
        <f>A461+1</f>
        <v>166</v>
      </c>
      <c r="B465" s="3" t="s">
        <v>53</v>
      </c>
      <c r="C465" s="3" t="s">
        <v>530</v>
      </c>
      <c r="D465" s="310" t="s">
        <v>531</v>
      </c>
      <c r="E465" s="307"/>
      <c r="F465" s="3" t="s">
        <v>134</v>
      </c>
      <c r="G465" s="31">
        <v>1</v>
      </c>
      <c r="H465" s="31">
        <v>0</v>
      </c>
      <c r="I465" s="32">
        <v>21</v>
      </c>
      <c r="J465" s="31">
        <f>ROUND(G465*AO465,2)</f>
        <v>0</v>
      </c>
      <c r="K465" s="31">
        <f>ROUND(G465*AP465,2)</f>
        <v>0</v>
      </c>
      <c r="L465" s="31">
        <f>ROUND(G465*H465,2)</f>
        <v>0</v>
      </c>
      <c r="M465" s="31">
        <f>L465*(1+BW465/100)</f>
        <v>0</v>
      </c>
      <c r="N465" s="31">
        <v>5.0000000000000001E-4</v>
      </c>
      <c r="O465" s="31">
        <f>G465*N465</f>
        <v>5.0000000000000001E-4</v>
      </c>
      <c r="P465" s="33" t="s">
        <v>53</v>
      </c>
      <c r="Z465" s="31">
        <f>ROUND(IF(AQ465="5",BJ465,0),2)</f>
        <v>0</v>
      </c>
      <c r="AB465" s="31">
        <f>ROUND(IF(AQ465="1",BH465,0),2)</f>
        <v>0</v>
      </c>
      <c r="AC465" s="31">
        <f>ROUND(IF(AQ465="1",BI465,0),2)</f>
        <v>0</v>
      </c>
      <c r="AD465" s="31">
        <f>ROUND(IF(AQ465="7",BH465,0),2)</f>
        <v>0</v>
      </c>
      <c r="AE465" s="31">
        <f>ROUND(IF(AQ465="7",BI465,0),2)</f>
        <v>0</v>
      </c>
      <c r="AF465" s="31">
        <f>ROUND(IF(AQ465="2",BH465,0),2)</f>
        <v>0</v>
      </c>
      <c r="AG465" s="31">
        <f>ROUND(IF(AQ465="2",BI465,0),2)</f>
        <v>0</v>
      </c>
      <c r="AH465" s="31">
        <f>ROUND(IF(AQ465="0",BJ465,0),2)</f>
        <v>0</v>
      </c>
      <c r="AI465" s="12" t="s">
        <v>53</v>
      </c>
      <c r="AJ465" s="31">
        <f>IF(AN465=0,L465,0)</f>
        <v>0</v>
      </c>
      <c r="AK465" s="31">
        <f>IF(AN465=12,L465,0)</f>
        <v>0</v>
      </c>
      <c r="AL465" s="31">
        <f>IF(AN465=21,L465,0)</f>
        <v>0</v>
      </c>
      <c r="AN465" s="31">
        <v>21</v>
      </c>
      <c r="AO465" s="31">
        <f>H465*1</f>
        <v>0</v>
      </c>
      <c r="AP465" s="31">
        <f>H465*(1-1)</f>
        <v>0</v>
      </c>
      <c r="AQ465" s="34" t="s">
        <v>56</v>
      </c>
      <c r="AV465" s="31">
        <f>ROUND(AW465+AX465,2)</f>
        <v>0</v>
      </c>
      <c r="AW465" s="31">
        <f>ROUND(G465*AO465,2)</f>
        <v>0</v>
      </c>
      <c r="AX465" s="31">
        <f>ROUND(G465*AP465,2)</f>
        <v>0</v>
      </c>
      <c r="AY465" s="34" t="s">
        <v>516</v>
      </c>
      <c r="AZ465" s="34" t="s">
        <v>295</v>
      </c>
      <c r="BA465" s="12" t="s">
        <v>63</v>
      </c>
      <c r="BC465" s="31">
        <f>AW465+AX465</f>
        <v>0</v>
      </c>
      <c r="BD465" s="31">
        <f>H465/(100-BE465)*100</f>
        <v>0</v>
      </c>
      <c r="BE465" s="31">
        <v>0</v>
      </c>
      <c r="BF465" s="31">
        <f>O465</f>
        <v>5.0000000000000001E-4</v>
      </c>
      <c r="BH465" s="31">
        <f>G465*AO465</f>
        <v>0</v>
      </c>
      <c r="BI465" s="31">
        <f>G465*AP465</f>
        <v>0</v>
      </c>
      <c r="BJ465" s="31">
        <f>G465*H465</f>
        <v>0</v>
      </c>
      <c r="BK465" s="34" t="s">
        <v>203</v>
      </c>
      <c r="BL465" s="31"/>
      <c r="BW465" s="31">
        <f>I465</f>
        <v>21</v>
      </c>
      <c r="BX465" s="4" t="s">
        <v>531</v>
      </c>
    </row>
    <row r="466" spans="1:76" x14ac:dyDescent="0.25">
      <c r="A466" s="35"/>
      <c r="D466" s="87" t="s">
        <v>834</v>
      </c>
      <c r="E466" s="36" t="s">
        <v>53</v>
      </c>
      <c r="G466" s="37">
        <v>1</v>
      </c>
      <c r="P466" s="38"/>
      <c r="BX466" t="s">
        <v>834</v>
      </c>
    </row>
    <row r="467" spans="1:76" x14ac:dyDescent="0.25">
      <c r="A467" s="2">
        <f t="shared" ref="A467:A469" si="2">A465+1</f>
        <v>167</v>
      </c>
      <c r="B467" s="3" t="s">
        <v>53</v>
      </c>
      <c r="C467" s="3" t="s">
        <v>456</v>
      </c>
      <c r="D467" s="378" t="s">
        <v>457</v>
      </c>
      <c r="E467" s="379"/>
      <c r="F467" s="285" t="s">
        <v>134</v>
      </c>
      <c r="G467" s="287">
        <v>10</v>
      </c>
      <c r="H467" s="31">
        <v>0</v>
      </c>
      <c r="I467" s="32">
        <v>21</v>
      </c>
      <c r="J467" s="31">
        <f>ROUND(G467*AO467,2)</f>
        <v>0</v>
      </c>
      <c r="K467" s="31">
        <f>ROUND(G467*AP467,2)</f>
        <v>0</v>
      </c>
      <c r="L467" s="31">
        <f>ROUND(G467*H467,2)</f>
        <v>0</v>
      </c>
      <c r="M467" s="31">
        <f>L467*(1+BW467/100)</f>
        <v>0</v>
      </c>
      <c r="N467" s="31">
        <v>6.5300000000000002E-3</v>
      </c>
      <c r="O467" s="31">
        <f>G467*N467</f>
        <v>6.5299999999999997E-2</v>
      </c>
      <c r="P467" s="33" t="s">
        <v>175</v>
      </c>
      <c r="Z467" s="31">
        <f>ROUND(IF(AQ467="5",BJ467,0),2)</f>
        <v>0</v>
      </c>
      <c r="AB467" s="31">
        <f>ROUND(IF(AQ467="1",BH467,0),2)</f>
        <v>0</v>
      </c>
      <c r="AC467" s="31">
        <f>ROUND(IF(AQ467="1",BI467,0),2)</f>
        <v>0</v>
      </c>
      <c r="AD467" s="31">
        <f>ROUND(IF(AQ467="7",BH467,0),2)</f>
        <v>0</v>
      </c>
      <c r="AE467" s="31">
        <f>ROUND(IF(AQ467="7",BI467,0),2)</f>
        <v>0</v>
      </c>
      <c r="AF467" s="31">
        <f>ROUND(IF(AQ467="2",BH467,0),2)</f>
        <v>0</v>
      </c>
      <c r="AG467" s="31">
        <f>ROUND(IF(AQ467="2",BI467,0),2)</f>
        <v>0</v>
      </c>
      <c r="AH467" s="31">
        <f>ROUND(IF(AQ467="0",BJ467,0),2)</f>
        <v>0</v>
      </c>
      <c r="AI467" s="12" t="s">
        <v>53</v>
      </c>
      <c r="AJ467" s="31">
        <f>IF(AN467=0,L467,0)</f>
        <v>0</v>
      </c>
      <c r="AK467" s="31">
        <f>IF(AN467=12,L467,0)</f>
        <v>0</v>
      </c>
      <c r="AL467" s="31">
        <f>IF(AN467=21,L467,0)</f>
        <v>0</v>
      </c>
      <c r="AN467" s="31">
        <v>21</v>
      </c>
      <c r="AO467" s="31">
        <f>H467*1</f>
        <v>0</v>
      </c>
      <c r="AP467" s="31">
        <f>H467*(1-1)</f>
        <v>0</v>
      </c>
      <c r="AQ467" s="34" t="s">
        <v>56</v>
      </c>
      <c r="AV467" s="31">
        <f>ROUND(AW467+AX467,2)</f>
        <v>0</v>
      </c>
      <c r="AW467" s="31">
        <f>ROUND(G467*AO467,2)</f>
        <v>0</v>
      </c>
      <c r="AX467" s="31">
        <f>ROUND(G467*AP467,2)</f>
        <v>0</v>
      </c>
      <c r="AY467" s="34" t="s">
        <v>392</v>
      </c>
      <c r="AZ467" s="34" t="s">
        <v>295</v>
      </c>
      <c r="BA467" s="12" t="s">
        <v>63</v>
      </c>
      <c r="BC467" s="31">
        <f>AW467+AX467</f>
        <v>0</v>
      </c>
      <c r="BD467" s="31">
        <f>H467/(100-BE467)*100</f>
        <v>0</v>
      </c>
      <c r="BE467" s="31">
        <v>0</v>
      </c>
      <c r="BF467" s="31">
        <f>O467</f>
        <v>6.5299999999999997E-2</v>
      </c>
      <c r="BH467" s="31">
        <f>G467*AO467</f>
        <v>0</v>
      </c>
      <c r="BI467" s="31">
        <f>G467*AP467</f>
        <v>0</v>
      </c>
      <c r="BJ467" s="31">
        <f>G467*H467</f>
        <v>0</v>
      </c>
      <c r="BK467" s="34" t="s">
        <v>203</v>
      </c>
      <c r="BL467" s="31"/>
      <c r="BW467" s="31">
        <f>I467</f>
        <v>21</v>
      </c>
      <c r="BX467" s="4" t="s">
        <v>457</v>
      </c>
    </row>
    <row r="468" spans="1:76" x14ac:dyDescent="0.25">
      <c r="A468" s="35"/>
      <c r="D468" s="201">
        <v>10</v>
      </c>
      <c r="E468" s="286" t="s">
        <v>53</v>
      </c>
      <c r="F468" s="288"/>
      <c r="G468" s="289">
        <v>10</v>
      </c>
      <c r="P468" s="38"/>
      <c r="BX468">
        <v>10</v>
      </c>
    </row>
    <row r="469" spans="1:76" x14ac:dyDescent="0.25">
      <c r="A469" s="2">
        <f t="shared" si="2"/>
        <v>168</v>
      </c>
      <c r="B469" s="3" t="s">
        <v>53</v>
      </c>
      <c r="C469" s="3" t="s">
        <v>846</v>
      </c>
      <c r="D469" s="390" t="s">
        <v>651</v>
      </c>
      <c r="E469" s="307"/>
      <c r="F469" s="3" t="s">
        <v>134</v>
      </c>
      <c r="G469" s="31">
        <v>4</v>
      </c>
      <c r="H469" s="31">
        <v>0</v>
      </c>
      <c r="I469" s="32">
        <v>21</v>
      </c>
      <c r="J469" s="31">
        <f>ROUND(G469*AO469,2)</f>
        <v>0</v>
      </c>
      <c r="K469" s="31">
        <f>ROUND(G469*AP469,2)</f>
        <v>0</v>
      </c>
      <c r="L469" s="31">
        <f>ROUND(G469*H469,2)</f>
        <v>0</v>
      </c>
      <c r="M469" s="31">
        <f>L469*(1+BW469/100)</f>
        <v>0</v>
      </c>
      <c r="N469" s="31">
        <v>6.5300000000000002E-3</v>
      </c>
      <c r="O469" s="31">
        <f>G469*N469</f>
        <v>2.6120000000000001E-2</v>
      </c>
      <c r="P469" s="33" t="s">
        <v>175</v>
      </c>
      <c r="Z469" s="31">
        <f>ROUND(IF(AQ469="5",BJ469,0),2)</f>
        <v>0</v>
      </c>
      <c r="AB469" s="31">
        <f>ROUND(IF(AQ469="1",BH469,0),2)</f>
        <v>0</v>
      </c>
      <c r="AC469" s="31">
        <f>ROUND(IF(AQ469="1",BI469,0),2)</f>
        <v>0</v>
      </c>
      <c r="AD469" s="31">
        <f>ROUND(IF(AQ469="7",BH469,0),2)</f>
        <v>0</v>
      </c>
      <c r="AE469" s="31">
        <f>ROUND(IF(AQ469="7",BI469,0),2)</f>
        <v>0</v>
      </c>
      <c r="AF469" s="31">
        <f>ROUND(IF(AQ469="2",BH469,0),2)</f>
        <v>0</v>
      </c>
      <c r="AG469" s="31">
        <f>ROUND(IF(AQ469="2",BI469,0),2)</f>
        <v>0</v>
      </c>
      <c r="AH469" s="31">
        <f>ROUND(IF(AQ469="0",BJ469,0),2)</f>
        <v>0</v>
      </c>
      <c r="AI469" s="12" t="s">
        <v>53</v>
      </c>
      <c r="AJ469" s="31">
        <f>IF(AN469=0,L469,0)</f>
        <v>0</v>
      </c>
      <c r="AK469" s="31">
        <f>IF(AN469=12,L469,0)</f>
        <v>0</v>
      </c>
      <c r="AL469" s="31">
        <f>IF(AN469=21,L469,0)</f>
        <v>0</v>
      </c>
      <c r="AN469" s="31">
        <v>21</v>
      </c>
      <c r="AO469" s="31">
        <f>H469*1</f>
        <v>0</v>
      </c>
      <c r="AP469" s="31">
        <f>H469*(1-1)</f>
        <v>0</v>
      </c>
      <c r="AQ469" s="34" t="s">
        <v>56</v>
      </c>
      <c r="AV469" s="31">
        <f>ROUND(AW469+AX469,2)</f>
        <v>0</v>
      </c>
      <c r="AW469" s="31">
        <f>ROUND(G469*AO469,2)</f>
        <v>0</v>
      </c>
      <c r="AX469" s="31">
        <f>ROUND(G469*AP469,2)</f>
        <v>0</v>
      </c>
      <c r="AY469" s="34" t="s">
        <v>516</v>
      </c>
      <c r="AZ469" s="34" t="s">
        <v>295</v>
      </c>
      <c r="BA469" s="12" t="s">
        <v>63</v>
      </c>
      <c r="BC469" s="31">
        <f>AW469+AX469</f>
        <v>0</v>
      </c>
      <c r="BD469" s="31">
        <f>H469/(100-BE469)*100</f>
        <v>0</v>
      </c>
      <c r="BE469" s="31">
        <v>0</v>
      </c>
      <c r="BF469" s="31">
        <f>O469</f>
        <v>2.6120000000000001E-2</v>
      </c>
      <c r="BH469" s="31">
        <f>G469*AO469</f>
        <v>0</v>
      </c>
      <c r="BI469" s="31">
        <f>G469*AP469</f>
        <v>0</v>
      </c>
      <c r="BJ469" s="31">
        <f>G469*H469</f>
        <v>0</v>
      </c>
      <c r="BK469" s="34" t="s">
        <v>203</v>
      </c>
      <c r="BL469" s="31"/>
      <c r="BW469" s="31">
        <f>I469</f>
        <v>21</v>
      </c>
      <c r="BX469" s="4" t="s">
        <v>651</v>
      </c>
    </row>
    <row r="470" spans="1:76" x14ac:dyDescent="0.25">
      <c r="A470" s="35"/>
      <c r="D470" s="87" t="s">
        <v>532</v>
      </c>
      <c r="E470" s="36" t="s">
        <v>53</v>
      </c>
      <c r="G470" s="37">
        <v>4</v>
      </c>
      <c r="P470" s="38"/>
      <c r="BX470" t="s">
        <v>532</v>
      </c>
    </row>
    <row r="471" spans="1:76" x14ac:dyDescent="0.25">
      <c r="A471" s="2">
        <f t="shared" ref="A471" si="3">A469+1</f>
        <v>169</v>
      </c>
      <c r="B471" s="3" t="s">
        <v>53</v>
      </c>
      <c r="C471" s="3" t="s">
        <v>847</v>
      </c>
      <c r="D471" s="390" t="s">
        <v>652</v>
      </c>
      <c r="E471" s="307"/>
      <c r="F471" s="3" t="s">
        <v>134</v>
      </c>
      <c r="G471" s="287">
        <v>4</v>
      </c>
      <c r="H471" s="31">
        <v>0</v>
      </c>
      <c r="I471" s="32">
        <v>21</v>
      </c>
      <c r="J471" s="31">
        <f>ROUND(G471*AO471,2)</f>
        <v>0</v>
      </c>
      <c r="K471" s="31">
        <f>ROUND(G471*AP471,2)</f>
        <v>0</v>
      </c>
      <c r="L471" s="31">
        <f>ROUND(G471*H471,2)</f>
        <v>0</v>
      </c>
      <c r="M471" s="31">
        <f>L471*(1+BW471/100)</f>
        <v>0</v>
      </c>
      <c r="N471" s="31">
        <v>6.5300000000000002E-3</v>
      </c>
      <c r="O471" s="31">
        <f>G471*N471</f>
        <v>2.6120000000000001E-2</v>
      </c>
      <c r="P471" s="33" t="s">
        <v>175</v>
      </c>
      <c r="Z471" s="31">
        <f>ROUND(IF(AQ471="5",BJ471,0),2)</f>
        <v>0</v>
      </c>
      <c r="AB471" s="31">
        <f>ROUND(IF(AQ471="1",BH471,0),2)</f>
        <v>0</v>
      </c>
      <c r="AC471" s="31">
        <f>ROUND(IF(AQ471="1",BI471,0),2)</f>
        <v>0</v>
      </c>
      <c r="AD471" s="31">
        <f>ROUND(IF(AQ471="7",BH471,0),2)</f>
        <v>0</v>
      </c>
      <c r="AE471" s="31">
        <f>ROUND(IF(AQ471="7",BI471,0),2)</f>
        <v>0</v>
      </c>
      <c r="AF471" s="31">
        <f>ROUND(IF(AQ471="2",BH471,0),2)</f>
        <v>0</v>
      </c>
      <c r="AG471" s="31">
        <f>ROUND(IF(AQ471="2",BI471,0),2)</f>
        <v>0</v>
      </c>
      <c r="AH471" s="31">
        <f>ROUND(IF(AQ471="0",BJ471,0),2)</f>
        <v>0</v>
      </c>
      <c r="AI471" s="12" t="s">
        <v>53</v>
      </c>
      <c r="AJ471" s="31">
        <f>IF(AN471=0,L471,0)</f>
        <v>0</v>
      </c>
      <c r="AK471" s="31">
        <f>IF(AN471=12,L471,0)</f>
        <v>0</v>
      </c>
      <c r="AL471" s="31">
        <f>IF(AN471=21,L471,0)</f>
        <v>0</v>
      </c>
      <c r="AN471" s="31">
        <v>21</v>
      </c>
      <c r="AO471" s="31">
        <f>H471*1</f>
        <v>0</v>
      </c>
      <c r="AP471" s="31">
        <f>H471*(1-1)</f>
        <v>0</v>
      </c>
      <c r="AQ471" s="34" t="s">
        <v>56</v>
      </c>
      <c r="AV471" s="31">
        <f>ROUND(AW471+AX471,2)</f>
        <v>0</v>
      </c>
      <c r="AW471" s="31">
        <f>ROUND(G471*AO471,2)</f>
        <v>0</v>
      </c>
      <c r="AX471" s="31">
        <f>ROUND(G471*AP471,2)</f>
        <v>0</v>
      </c>
      <c r="AY471" s="34" t="s">
        <v>516</v>
      </c>
      <c r="AZ471" s="34" t="s">
        <v>295</v>
      </c>
      <c r="BA471" s="12" t="s">
        <v>63</v>
      </c>
      <c r="BC471" s="31">
        <f>AW471+AX471</f>
        <v>0</v>
      </c>
      <c r="BD471" s="31">
        <f>H471/(100-BE471)*100</f>
        <v>0</v>
      </c>
      <c r="BE471" s="31">
        <v>0</v>
      </c>
      <c r="BF471" s="31">
        <f>O471</f>
        <v>2.6120000000000001E-2</v>
      </c>
      <c r="BH471" s="31">
        <f>G471*AO471</f>
        <v>0</v>
      </c>
      <c r="BI471" s="31">
        <f>G471*AP471</f>
        <v>0</v>
      </c>
      <c r="BJ471" s="31">
        <f>G471*H471</f>
        <v>0</v>
      </c>
      <c r="BK471" s="34" t="s">
        <v>203</v>
      </c>
      <c r="BL471" s="31"/>
      <c r="BW471" s="31">
        <f>I471</f>
        <v>21</v>
      </c>
      <c r="BX471" s="4" t="s">
        <v>652</v>
      </c>
    </row>
    <row r="472" spans="1:76" x14ac:dyDescent="0.25">
      <c r="A472" s="35"/>
      <c r="D472" s="201">
        <v>4</v>
      </c>
      <c r="E472" s="36" t="s">
        <v>53</v>
      </c>
      <c r="G472" s="289">
        <v>4</v>
      </c>
      <c r="P472" s="38"/>
      <c r="BX472">
        <v>4</v>
      </c>
    </row>
    <row r="473" spans="1:76" x14ac:dyDescent="0.25">
      <c r="A473" s="2">
        <f t="shared" ref="A473" si="4">A471+1</f>
        <v>170</v>
      </c>
      <c r="B473" s="3" t="s">
        <v>53</v>
      </c>
      <c r="C473" s="3" t="s">
        <v>848</v>
      </c>
      <c r="D473" s="390" t="s">
        <v>655</v>
      </c>
      <c r="E473" s="307"/>
      <c r="F473" s="3" t="s">
        <v>134</v>
      </c>
      <c r="G473" s="31">
        <v>4</v>
      </c>
      <c r="H473" s="31">
        <v>0</v>
      </c>
      <c r="I473" s="32">
        <v>21</v>
      </c>
      <c r="J473" s="31">
        <f>ROUND(G473*AO473,2)</f>
        <v>0</v>
      </c>
      <c r="K473" s="31">
        <f>ROUND(G473*AP473,2)</f>
        <v>0</v>
      </c>
      <c r="L473" s="31">
        <f>ROUND(G473*H473,2)</f>
        <v>0</v>
      </c>
      <c r="M473" s="31">
        <f>L473*(1+BW473/100)</f>
        <v>0</v>
      </c>
      <c r="N473" s="31">
        <v>6.5300000000000002E-3</v>
      </c>
      <c r="O473" s="31">
        <f>G473*N473</f>
        <v>2.6120000000000001E-2</v>
      </c>
      <c r="P473" s="33" t="s">
        <v>175</v>
      </c>
      <c r="Z473" s="31">
        <f>ROUND(IF(AQ473="5",BJ473,0),2)</f>
        <v>0</v>
      </c>
      <c r="AB473" s="31">
        <f>ROUND(IF(AQ473="1",BH473,0),2)</f>
        <v>0</v>
      </c>
      <c r="AC473" s="31">
        <f>ROUND(IF(AQ473="1",BI473,0),2)</f>
        <v>0</v>
      </c>
      <c r="AD473" s="31">
        <f>ROUND(IF(AQ473="7",BH473,0),2)</f>
        <v>0</v>
      </c>
      <c r="AE473" s="31">
        <f>ROUND(IF(AQ473="7",BI473,0),2)</f>
        <v>0</v>
      </c>
      <c r="AF473" s="31">
        <f>ROUND(IF(AQ473="2",BH473,0),2)</f>
        <v>0</v>
      </c>
      <c r="AG473" s="31">
        <f>ROUND(IF(AQ473="2",BI473,0),2)</f>
        <v>0</v>
      </c>
      <c r="AH473" s="31">
        <f>ROUND(IF(AQ473="0",BJ473,0),2)</f>
        <v>0</v>
      </c>
      <c r="AI473" s="12" t="s">
        <v>53</v>
      </c>
      <c r="AJ473" s="31">
        <f>IF(AN473=0,L473,0)</f>
        <v>0</v>
      </c>
      <c r="AK473" s="31">
        <f>IF(AN473=12,L473,0)</f>
        <v>0</v>
      </c>
      <c r="AL473" s="31">
        <f>IF(AN473=21,L473,0)</f>
        <v>0</v>
      </c>
      <c r="AN473" s="31">
        <v>21</v>
      </c>
      <c r="AO473" s="31">
        <f>H473*1</f>
        <v>0</v>
      </c>
      <c r="AP473" s="31">
        <f>H473*(1-1)</f>
        <v>0</v>
      </c>
      <c r="AQ473" s="34" t="s">
        <v>56</v>
      </c>
      <c r="AV473" s="31">
        <f>ROUND(AW473+AX473,2)</f>
        <v>0</v>
      </c>
      <c r="AW473" s="31">
        <f>ROUND(G473*AO473,2)</f>
        <v>0</v>
      </c>
      <c r="AX473" s="31">
        <f>ROUND(G473*AP473,2)</f>
        <v>0</v>
      </c>
      <c r="AY473" s="34" t="s">
        <v>516</v>
      </c>
      <c r="AZ473" s="34" t="s">
        <v>295</v>
      </c>
      <c r="BA473" s="12" t="s">
        <v>63</v>
      </c>
      <c r="BC473" s="31">
        <f>AW473+AX473</f>
        <v>0</v>
      </c>
      <c r="BD473" s="31">
        <f>H473/(100-BE473)*100</f>
        <v>0</v>
      </c>
      <c r="BE473" s="31">
        <v>0</v>
      </c>
      <c r="BF473" s="31">
        <f>O473</f>
        <v>2.6120000000000001E-2</v>
      </c>
      <c r="BH473" s="31">
        <f>G473*AO473</f>
        <v>0</v>
      </c>
      <c r="BI473" s="31">
        <f>G473*AP473</f>
        <v>0</v>
      </c>
      <c r="BJ473" s="31">
        <f>G473*H473</f>
        <v>0</v>
      </c>
      <c r="BK473" s="34" t="s">
        <v>203</v>
      </c>
      <c r="BL473" s="31"/>
      <c r="BW473" s="31">
        <f>I473</f>
        <v>21</v>
      </c>
      <c r="BX473" s="4" t="s">
        <v>655</v>
      </c>
    </row>
    <row r="474" spans="1:76" x14ac:dyDescent="0.25">
      <c r="A474" s="35"/>
      <c r="D474" s="87" t="s">
        <v>844</v>
      </c>
      <c r="E474" s="36" t="s">
        <v>53</v>
      </c>
      <c r="G474" s="37">
        <v>4</v>
      </c>
      <c r="P474" s="38"/>
      <c r="BX474" t="s">
        <v>844</v>
      </c>
    </row>
    <row r="475" spans="1:76" x14ac:dyDescent="0.25">
      <c r="A475" s="2">
        <f t="shared" ref="A475" si="5">A473+1</f>
        <v>171</v>
      </c>
      <c r="B475" s="3" t="s">
        <v>53</v>
      </c>
      <c r="C475" s="3" t="s">
        <v>530</v>
      </c>
      <c r="D475" s="310" t="s">
        <v>533</v>
      </c>
      <c r="E475" s="307"/>
      <c r="F475" s="285" t="s">
        <v>134</v>
      </c>
      <c r="G475" s="287">
        <v>4</v>
      </c>
      <c r="H475" s="31">
        <v>0</v>
      </c>
      <c r="I475" s="32">
        <v>21</v>
      </c>
      <c r="J475" s="31">
        <f>ROUND(G475*AO475,2)</f>
        <v>0</v>
      </c>
      <c r="K475" s="31">
        <f>ROUND(G475*AP475,2)</f>
        <v>0</v>
      </c>
      <c r="L475" s="31">
        <f>ROUND(G475*H475,2)</f>
        <v>0</v>
      </c>
      <c r="M475" s="31">
        <f>L475*(1+BW475/100)</f>
        <v>0</v>
      </c>
      <c r="N475" s="31">
        <v>5.0000000000000001E-4</v>
      </c>
      <c r="O475" s="31">
        <f>G475*N475</f>
        <v>2E-3</v>
      </c>
      <c r="P475" s="33" t="s">
        <v>53</v>
      </c>
      <c r="Z475" s="31">
        <f>ROUND(IF(AQ475="5",BJ475,0),2)</f>
        <v>0</v>
      </c>
      <c r="AB475" s="31">
        <f>ROUND(IF(AQ475="1",BH475,0),2)</f>
        <v>0</v>
      </c>
      <c r="AC475" s="31">
        <f>ROUND(IF(AQ475="1",BI475,0),2)</f>
        <v>0</v>
      </c>
      <c r="AD475" s="31">
        <f>ROUND(IF(AQ475="7",BH475,0),2)</f>
        <v>0</v>
      </c>
      <c r="AE475" s="31">
        <f>ROUND(IF(AQ475="7",BI475,0),2)</f>
        <v>0</v>
      </c>
      <c r="AF475" s="31">
        <f>ROUND(IF(AQ475="2",BH475,0),2)</f>
        <v>0</v>
      </c>
      <c r="AG475" s="31">
        <f>ROUND(IF(AQ475="2",BI475,0),2)</f>
        <v>0</v>
      </c>
      <c r="AH475" s="31">
        <f>ROUND(IF(AQ475="0",BJ475,0),2)</f>
        <v>0</v>
      </c>
      <c r="AI475" s="12" t="s">
        <v>53</v>
      </c>
      <c r="AJ475" s="31">
        <f>IF(AN475=0,L475,0)</f>
        <v>0</v>
      </c>
      <c r="AK475" s="31">
        <f>IF(AN475=12,L475,0)</f>
        <v>0</v>
      </c>
      <c r="AL475" s="31">
        <f>IF(AN475=21,L475,0)</f>
        <v>0</v>
      </c>
      <c r="AN475" s="31">
        <v>21</v>
      </c>
      <c r="AO475" s="31">
        <f>H475*1</f>
        <v>0</v>
      </c>
      <c r="AP475" s="31">
        <f>H475*(1-1)</f>
        <v>0</v>
      </c>
      <c r="AQ475" s="34" t="s">
        <v>56</v>
      </c>
      <c r="AV475" s="31">
        <f>ROUND(AW475+AX475,2)</f>
        <v>0</v>
      </c>
      <c r="AW475" s="31">
        <f>ROUND(G475*AO475,2)</f>
        <v>0</v>
      </c>
      <c r="AX475" s="31">
        <f>ROUND(G475*AP475,2)</f>
        <v>0</v>
      </c>
      <c r="AY475" s="34" t="s">
        <v>516</v>
      </c>
      <c r="AZ475" s="34" t="s">
        <v>295</v>
      </c>
      <c r="BA475" s="12" t="s">
        <v>63</v>
      </c>
      <c r="BC475" s="31">
        <f>AW475+AX475</f>
        <v>0</v>
      </c>
      <c r="BD475" s="31">
        <f>H475/(100-BE475)*100</f>
        <v>0</v>
      </c>
      <c r="BE475" s="31">
        <v>0</v>
      </c>
      <c r="BF475" s="31">
        <f>O475</f>
        <v>2E-3</v>
      </c>
      <c r="BH475" s="31">
        <f>G475*AO475</f>
        <v>0</v>
      </c>
      <c r="BI475" s="31">
        <f>G475*AP475</f>
        <v>0</v>
      </c>
      <c r="BJ475" s="31">
        <f>G475*H475</f>
        <v>0</v>
      </c>
      <c r="BK475" s="34" t="s">
        <v>203</v>
      </c>
      <c r="BL475" s="31"/>
      <c r="BW475" s="31">
        <f>I475</f>
        <v>21</v>
      </c>
      <c r="BX475" s="4" t="s">
        <v>533</v>
      </c>
    </row>
    <row r="476" spans="1:76" x14ac:dyDescent="0.25">
      <c r="A476" s="35"/>
      <c r="D476" s="87" t="s">
        <v>1160</v>
      </c>
      <c r="E476" s="102" t="s">
        <v>53</v>
      </c>
      <c r="F476" s="288"/>
      <c r="G476" s="289">
        <v>4</v>
      </c>
      <c r="P476" s="38"/>
      <c r="BX476" t="s">
        <v>1160</v>
      </c>
    </row>
    <row r="477" spans="1:76" x14ac:dyDescent="0.25">
      <c r="A477" s="2">
        <f t="shared" ref="A477" si="6">A475+1</f>
        <v>172</v>
      </c>
      <c r="B477" s="3" t="s">
        <v>53</v>
      </c>
      <c r="C477" s="94" t="s">
        <v>654</v>
      </c>
      <c r="D477" s="310" t="s">
        <v>534</v>
      </c>
      <c r="E477" s="307"/>
      <c r="F477" s="3" t="s">
        <v>134</v>
      </c>
      <c r="G477" s="31">
        <v>1</v>
      </c>
      <c r="H477" s="31">
        <v>0</v>
      </c>
      <c r="I477" s="32">
        <v>21</v>
      </c>
      <c r="J477" s="31">
        <f>ROUND(G477*AO477,2)</f>
        <v>0</v>
      </c>
      <c r="K477" s="31">
        <f>ROUND(G477*AP477,2)</f>
        <v>0</v>
      </c>
      <c r="L477" s="31">
        <f>ROUND(G477*H477,2)</f>
        <v>0</v>
      </c>
      <c r="M477" s="31">
        <f>L477*(1+BW477/100)</f>
        <v>0</v>
      </c>
      <c r="N477" s="31">
        <v>5.0000000000000001E-4</v>
      </c>
      <c r="O477" s="31">
        <f>G477*N477</f>
        <v>5.0000000000000001E-4</v>
      </c>
      <c r="P477" s="33" t="s">
        <v>53</v>
      </c>
      <c r="Z477" s="31">
        <f>ROUND(IF(AQ477="5",BJ477,0),2)</f>
        <v>0</v>
      </c>
      <c r="AB477" s="31">
        <f>ROUND(IF(AQ477="1",BH477,0),2)</f>
        <v>0</v>
      </c>
      <c r="AC477" s="31">
        <f>ROUND(IF(AQ477="1",BI477,0),2)</f>
        <v>0</v>
      </c>
      <c r="AD477" s="31">
        <f>ROUND(IF(AQ477="7",BH477,0),2)</f>
        <v>0</v>
      </c>
      <c r="AE477" s="31">
        <f>ROUND(IF(AQ477="7",BI477,0),2)</f>
        <v>0</v>
      </c>
      <c r="AF477" s="31">
        <f>ROUND(IF(AQ477="2",BH477,0),2)</f>
        <v>0</v>
      </c>
      <c r="AG477" s="31">
        <f>ROUND(IF(AQ477="2",BI477,0),2)</f>
        <v>0</v>
      </c>
      <c r="AH477" s="31">
        <f>ROUND(IF(AQ477="0",BJ477,0),2)</f>
        <v>0</v>
      </c>
      <c r="AI477" s="12" t="s">
        <v>53</v>
      </c>
      <c r="AJ477" s="31">
        <f>IF(AN477=0,L477,0)</f>
        <v>0</v>
      </c>
      <c r="AK477" s="31">
        <f>IF(AN477=12,L477,0)</f>
        <v>0</v>
      </c>
      <c r="AL477" s="31">
        <f>IF(AN477=21,L477,0)</f>
        <v>0</v>
      </c>
      <c r="AN477" s="31">
        <v>21</v>
      </c>
      <c r="AO477" s="31">
        <f>H477*1</f>
        <v>0</v>
      </c>
      <c r="AP477" s="31">
        <f>H477*(1-1)</f>
        <v>0</v>
      </c>
      <c r="AQ477" s="34" t="s">
        <v>56</v>
      </c>
      <c r="AV477" s="31">
        <f>ROUND(AW477+AX477,2)</f>
        <v>0</v>
      </c>
      <c r="AW477" s="31">
        <f>ROUND(G477*AO477,2)</f>
        <v>0</v>
      </c>
      <c r="AX477" s="31">
        <f>ROUND(G477*AP477,2)</f>
        <v>0</v>
      </c>
      <c r="AY477" s="34" t="s">
        <v>516</v>
      </c>
      <c r="AZ477" s="34" t="s">
        <v>295</v>
      </c>
      <c r="BA477" s="12" t="s">
        <v>63</v>
      </c>
      <c r="BC477" s="31">
        <f>AW477+AX477</f>
        <v>0</v>
      </c>
      <c r="BD477" s="31">
        <f>H477/(100-BE477)*100</f>
        <v>0</v>
      </c>
      <c r="BE477" s="31">
        <v>0</v>
      </c>
      <c r="BF477" s="31">
        <f>O477</f>
        <v>5.0000000000000001E-4</v>
      </c>
      <c r="BH477" s="31">
        <f>G477*AO477</f>
        <v>0</v>
      </c>
      <c r="BI477" s="31">
        <f>G477*AP477</f>
        <v>0</v>
      </c>
      <c r="BJ477" s="31">
        <f>G477*H477</f>
        <v>0</v>
      </c>
      <c r="BK477" s="34" t="s">
        <v>203</v>
      </c>
      <c r="BL477" s="31"/>
      <c r="BW477" s="31">
        <f>I477</f>
        <v>21</v>
      </c>
      <c r="BX477" s="4" t="s">
        <v>534</v>
      </c>
    </row>
    <row r="478" spans="1:76" x14ac:dyDescent="0.25">
      <c r="A478" s="35"/>
      <c r="D478" s="87" t="s">
        <v>835</v>
      </c>
      <c r="E478" s="36" t="s">
        <v>53</v>
      </c>
      <c r="G478" s="37">
        <v>1</v>
      </c>
      <c r="P478" s="38"/>
      <c r="BX478" t="s">
        <v>835</v>
      </c>
    </row>
    <row r="479" spans="1:76" x14ac:dyDescent="0.25">
      <c r="A479" s="2">
        <f>A477+1</f>
        <v>173</v>
      </c>
      <c r="B479" s="3" t="s">
        <v>53</v>
      </c>
      <c r="C479" s="94" t="s">
        <v>653</v>
      </c>
      <c r="D479" s="310" t="s">
        <v>535</v>
      </c>
      <c r="E479" s="307"/>
      <c r="F479" s="3" t="s">
        <v>134</v>
      </c>
      <c r="G479" s="31">
        <v>1</v>
      </c>
      <c r="H479" s="31">
        <v>0</v>
      </c>
      <c r="I479" s="32">
        <v>21</v>
      </c>
      <c r="J479" s="31">
        <f>ROUND(G479*AO479,2)</f>
        <v>0</v>
      </c>
      <c r="K479" s="31">
        <f>ROUND(G479*AP479,2)</f>
        <v>0</v>
      </c>
      <c r="L479" s="31">
        <f>ROUND(G479*H479,2)</f>
        <v>0</v>
      </c>
      <c r="M479" s="31">
        <f>L479*(1+BW479/100)</f>
        <v>0</v>
      </c>
      <c r="N479" s="31">
        <v>5.0000000000000001E-4</v>
      </c>
      <c r="O479" s="31">
        <f>G479*N479</f>
        <v>5.0000000000000001E-4</v>
      </c>
      <c r="P479" s="33" t="s">
        <v>53</v>
      </c>
      <c r="Z479" s="31">
        <f>ROUND(IF(AQ479="5",BJ479,0),2)</f>
        <v>0</v>
      </c>
      <c r="AB479" s="31">
        <f>ROUND(IF(AQ479="1",BH479,0),2)</f>
        <v>0</v>
      </c>
      <c r="AC479" s="31">
        <f>ROUND(IF(AQ479="1",BI479,0),2)</f>
        <v>0</v>
      </c>
      <c r="AD479" s="31">
        <f>ROUND(IF(AQ479="7",BH479,0),2)</f>
        <v>0</v>
      </c>
      <c r="AE479" s="31">
        <f>ROUND(IF(AQ479="7",BI479,0),2)</f>
        <v>0</v>
      </c>
      <c r="AF479" s="31">
        <f>ROUND(IF(AQ479="2",BH479,0),2)</f>
        <v>0</v>
      </c>
      <c r="AG479" s="31">
        <f>ROUND(IF(AQ479="2",BI479,0),2)</f>
        <v>0</v>
      </c>
      <c r="AH479" s="31">
        <f>ROUND(IF(AQ479="0",BJ479,0),2)</f>
        <v>0</v>
      </c>
      <c r="AI479" s="12" t="s">
        <v>53</v>
      </c>
      <c r="AJ479" s="31">
        <f>IF(AN479=0,L479,0)</f>
        <v>0</v>
      </c>
      <c r="AK479" s="31">
        <f>IF(AN479=12,L479,0)</f>
        <v>0</v>
      </c>
      <c r="AL479" s="31">
        <f>IF(AN479=21,L479,0)</f>
        <v>0</v>
      </c>
      <c r="AN479" s="31">
        <v>21</v>
      </c>
      <c r="AO479" s="31">
        <f>H479*1</f>
        <v>0</v>
      </c>
      <c r="AP479" s="31">
        <f>H479*(1-1)</f>
        <v>0</v>
      </c>
      <c r="AQ479" s="34" t="s">
        <v>56</v>
      </c>
      <c r="AV479" s="31">
        <f>ROUND(AW479+AX479,2)</f>
        <v>0</v>
      </c>
      <c r="AW479" s="31">
        <f>ROUND(G479*AO479,2)</f>
        <v>0</v>
      </c>
      <c r="AX479" s="31">
        <f>ROUND(G479*AP479,2)</f>
        <v>0</v>
      </c>
      <c r="AY479" s="34" t="s">
        <v>516</v>
      </c>
      <c r="AZ479" s="34" t="s">
        <v>295</v>
      </c>
      <c r="BA479" s="12" t="s">
        <v>63</v>
      </c>
      <c r="BC479" s="31">
        <f>AW479+AX479</f>
        <v>0</v>
      </c>
      <c r="BD479" s="31">
        <f>H479/(100-BE479)*100</f>
        <v>0</v>
      </c>
      <c r="BE479" s="31">
        <v>0</v>
      </c>
      <c r="BF479" s="31">
        <f>O479</f>
        <v>5.0000000000000001E-4</v>
      </c>
      <c r="BH479" s="31">
        <f>G479*AO479</f>
        <v>0</v>
      </c>
      <c r="BI479" s="31">
        <f>G479*AP479</f>
        <v>0</v>
      </c>
      <c r="BJ479" s="31">
        <f>G479*H479</f>
        <v>0</v>
      </c>
      <c r="BK479" s="34" t="s">
        <v>203</v>
      </c>
      <c r="BL479" s="31"/>
      <c r="BW479" s="31">
        <f>I479</f>
        <v>21</v>
      </c>
      <c r="BX479" s="4" t="s">
        <v>535</v>
      </c>
    </row>
    <row r="480" spans="1:76" x14ac:dyDescent="0.25">
      <c r="A480" s="35"/>
      <c r="D480" s="87" t="s">
        <v>836</v>
      </c>
      <c r="E480" s="36" t="s">
        <v>53</v>
      </c>
      <c r="G480" s="37">
        <v>1</v>
      </c>
      <c r="P480" s="38"/>
      <c r="BX480" t="s">
        <v>836</v>
      </c>
    </row>
    <row r="481" spans="1:76" x14ac:dyDescent="0.25">
      <c r="A481" s="2">
        <f t="shared" ref="A481" si="7">A479+1</f>
        <v>174</v>
      </c>
      <c r="B481" s="3" t="s">
        <v>53</v>
      </c>
      <c r="C481" s="3" t="s">
        <v>267</v>
      </c>
      <c r="D481" s="378" t="s">
        <v>268</v>
      </c>
      <c r="E481" s="379"/>
      <c r="F481" s="285" t="s">
        <v>256</v>
      </c>
      <c r="G481" s="287">
        <v>5</v>
      </c>
      <c r="H481" s="31">
        <v>0</v>
      </c>
      <c r="I481" s="32">
        <v>21</v>
      </c>
      <c r="J481" s="31">
        <f>ROUND(G481*AO481,2)</f>
        <v>0</v>
      </c>
      <c r="K481" s="31">
        <f>ROUND(G481*AP481,2)</f>
        <v>0</v>
      </c>
      <c r="L481" s="31">
        <f>ROUND(G481*H481,2)</f>
        <v>0</v>
      </c>
      <c r="M481" s="31">
        <f>L481*(1+BW481/100)</f>
        <v>0</v>
      </c>
      <c r="N481" s="31">
        <v>5.0000000000000002E-5</v>
      </c>
      <c r="O481" s="31">
        <f>G481*N481</f>
        <v>2.5000000000000001E-4</v>
      </c>
      <c r="P481" s="33" t="s">
        <v>60</v>
      </c>
      <c r="Z481" s="31">
        <f>ROUND(IF(AQ481="5",BJ481,0),2)</f>
        <v>0</v>
      </c>
      <c r="AB481" s="31">
        <f>ROUND(IF(AQ481="1",BH481,0),2)</f>
        <v>0</v>
      </c>
      <c r="AC481" s="31">
        <f>ROUND(IF(AQ481="1",BI481,0),2)</f>
        <v>0</v>
      </c>
      <c r="AD481" s="31">
        <f>ROUND(IF(AQ481="7",BH481,0),2)</f>
        <v>0</v>
      </c>
      <c r="AE481" s="31">
        <f>ROUND(IF(AQ481="7",BI481,0),2)</f>
        <v>0</v>
      </c>
      <c r="AF481" s="31">
        <f>ROUND(IF(AQ481="2",BH481,0),2)</f>
        <v>0</v>
      </c>
      <c r="AG481" s="31">
        <f>ROUND(IF(AQ481="2",BI481,0),2)</f>
        <v>0</v>
      </c>
      <c r="AH481" s="31">
        <f>ROUND(IF(AQ481="0",BJ481,0),2)</f>
        <v>0</v>
      </c>
      <c r="AI481" s="12" t="s">
        <v>53</v>
      </c>
      <c r="AJ481" s="31">
        <f>IF(AN481=0,L481,0)</f>
        <v>0</v>
      </c>
      <c r="AK481" s="31">
        <f>IF(AN481=12,L481,0)</f>
        <v>0</v>
      </c>
      <c r="AL481" s="31">
        <f>IF(AN481=21,L481,0)</f>
        <v>0</v>
      </c>
      <c r="AN481" s="31">
        <v>21</v>
      </c>
      <c r="AO481" s="31">
        <f>H481*0.184891304</f>
        <v>0</v>
      </c>
      <c r="AP481" s="31">
        <f>H481*(1-0.184891304)</f>
        <v>0</v>
      </c>
      <c r="AQ481" s="34" t="s">
        <v>56</v>
      </c>
      <c r="AV481" s="31">
        <f>ROUND(AW481+AX481,2)</f>
        <v>0</v>
      </c>
      <c r="AW481" s="31">
        <f>ROUND(G481*AO481,2)</f>
        <v>0</v>
      </c>
      <c r="AX481" s="31">
        <f>ROUND(G481*AP481,2)</f>
        <v>0</v>
      </c>
      <c r="AY481" s="34" t="s">
        <v>516</v>
      </c>
      <c r="AZ481" s="34" t="s">
        <v>295</v>
      </c>
      <c r="BA481" s="12" t="s">
        <v>63</v>
      </c>
      <c r="BC481" s="31">
        <f>AW481+AX481</f>
        <v>0</v>
      </c>
      <c r="BD481" s="31">
        <f>H481/(100-BE481)*100</f>
        <v>0</v>
      </c>
      <c r="BE481" s="31">
        <v>0</v>
      </c>
      <c r="BF481" s="31">
        <f>O481</f>
        <v>2.5000000000000001E-4</v>
      </c>
      <c r="BH481" s="31">
        <f>G481*AO481</f>
        <v>0</v>
      </c>
      <c r="BI481" s="31">
        <f>G481*AP481</f>
        <v>0</v>
      </c>
      <c r="BJ481" s="31">
        <f>G481*H481</f>
        <v>0</v>
      </c>
      <c r="BK481" s="34" t="s">
        <v>64</v>
      </c>
      <c r="BL481" s="31"/>
      <c r="BW481" s="31">
        <f>I481</f>
        <v>21</v>
      </c>
      <c r="BX481" s="4" t="s">
        <v>268</v>
      </c>
    </row>
    <row r="482" spans="1:76" x14ac:dyDescent="0.25">
      <c r="A482" s="35"/>
      <c r="D482" s="201" t="s">
        <v>1165</v>
      </c>
      <c r="E482" s="286" t="s">
        <v>53</v>
      </c>
      <c r="F482" s="288"/>
      <c r="G482" s="289">
        <v>5</v>
      </c>
      <c r="P482" s="38"/>
      <c r="BX482" t="s">
        <v>1165</v>
      </c>
    </row>
    <row r="483" spans="1:76" x14ac:dyDescent="0.25">
      <c r="A483" s="2">
        <f>A481+1</f>
        <v>175</v>
      </c>
      <c r="B483" s="3" t="s">
        <v>53</v>
      </c>
      <c r="C483" s="3" t="s">
        <v>419</v>
      </c>
      <c r="D483" s="310" t="s">
        <v>420</v>
      </c>
      <c r="E483" s="307"/>
      <c r="F483" s="3" t="s">
        <v>71</v>
      </c>
      <c r="G483" s="31">
        <v>693.2</v>
      </c>
      <c r="H483" s="31">
        <v>0</v>
      </c>
      <c r="I483" s="32">
        <v>21</v>
      </c>
      <c r="J483" s="31">
        <f>ROUND(G483*AO483,2)</f>
        <v>0</v>
      </c>
      <c r="K483" s="31">
        <f>ROUND(G483*AP483,2)</f>
        <v>0</v>
      </c>
      <c r="L483" s="31">
        <f>ROUND(G483*H483,2)</f>
        <v>0</v>
      </c>
      <c r="M483" s="31">
        <f>L483*(1+BW483/100)</f>
        <v>0</v>
      </c>
      <c r="N483" s="31">
        <v>0</v>
      </c>
      <c r="O483" s="31">
        <f>G483*N483</f>
        <v>0</v>
      </c>
      <c r="P483" s="33" t="s">
        <v>60</v>
      </c>
      <c r="Z483" s="31">
        <f>ROUND(IF(AQ483="5",BJ483,0),2)</f>
        <v>0</v>
      </c>
      <c r="AB483" s="31">
        <f>ROUND(IF(AQ483="1",BH483,0),2)</f>
        <v>0</v>
      </c>
      <c r="AC483" s="31">
        <f>ROUND(IF(AQ483="1",BI483,0),2)</f>
        <v>0</v>
      </c>
      <c r="AD483" s="31">
        <f>ROUND(IF(AQ483="7",BH483,0),2)</f>
        <v>0</v>
      </c>
      <c r="AE483" s="31">
        <f>ROUND(IF(AQ483="7",BI483,0),2)</f>
        <v>0</v>
      </c>
      <c r="AF483" s="31">
        <f>ROUND(IF(AQ483="2",BH483,0),2)</f>
        <v>0</v>
      </c>
      <c r="AG483" s="31">
        <f>ROUND(IF(AQ483="2",BI483,0),2)</f>
        <v>0</v>
      </c>
      <c r="AH483" s="31">
        <f>ROUND(IF(AQ483="0",BJ483,0),2)</f>
        <v>0</v>
      </c>
      <c r="AI483" s="12" t="s">
        <v>53</v>
      </c>
      <c r="AJ483" s="31">
        <f>IF(AN483=0,L483,0)</f>
        <v>0</v>
      </c>
      <c r="AK483" s="31">
        <f>IF(AN483=12,L483,0)</f>
        <v>0</v>
      </c>
      <c r="AL483" s="31">
        <f>IF(AN483=21,L483,0)</f>
        <v>0</v>
      </c>
      <c r="AN483" s="31">
        <v>21</v>
      </c>
      <c r="AO483" s="31">
        <f>H483*0</f>
        <v>0</v>
      </c>
      <c r="AP483" s="31">
        <f>H483*(1-0)</f>
        <v>0</v>
      </c>
      <c r="AQ483" s="34" t="s">
        <v>68</v>
      </c>
      <c r="AV483" s="31">
        <f>ROUND(AW483+AX483,2)</f>
        <v>0</v>
      </c>
      <c r="AW483" s="31">
        <f>ROUND(G483*AO483,2)</f>
        <v>0</v>
      </c>
      <c r="AX483" s="31">
        <f>ROUND(G483*AP483,2)</f>
        <v>0</v>
      </c>
      <c r="AY483" s="34" t="s">
        <v>516</v>
      </c>
      <c r="AZ483" s="34" t="s">
        <v>295</v>
      </c>
      <c r="BA483" s="12" t="s">
        <v>63</v>
      </c>
      <c r="BC483" s="31">
        <f>AW483+AX483</f>
        <v>0</v>
      </c>
      <c r="BD483" s="31">
        <f>H483/(100-BE483)*100</f>
        <v>0</v>
      </c>
      <c r="BE483" s="31">
        <v>0</v>
      </c>
      <c r="BF483" s="31">
        <f>O483</f>
        <v>0</v>
      </c>
      <c r="BH483" s="31">
        <f>G483*AO483</f>
        <v>0</v>
      </c>
      <c r="BI483" s="31">
        <f>G483*AP483</f>
        <v>0</v>
      </c>
      <c r="BJ483" s="31">
        <f>G483*H483</f>
        <v>0</v>
      </c>
      <c r="BK483" s="34" t="s">
        <v>64</v>
      </c>
      <c r="BL483" s="31"/>
      <c r="BW483" s="31">
        <f>I483</f>
        <v>21</v>
      </c>
      <c r="BX483" s="4" t="s">
        <v>420</v>
      </c>
    </row>
    <row r="484" spans="1:76" x14ac:dyDescent="0.25">
      <c r="A484" s="2">
        <f>A483+1</f>
        <v>176</v>
      </c>
      <c r="B484" s="3" t="s">
        <v>53</v>
      </c>
      <c r="C484" s="3" t="s">
        <v>437</v>
      </c>
      <c r="D484" s="310" t="s">
        <v>438</v>
      </c>
      <c r="E484" s="307"/>
      <c r="F484" s="3" t="s">
        <v>436</v>
      </c>
      <c r="G484" s="31">
        <v>3</v>
      </c>
      <c r="H484" s="31">
        <v>0</v>
      </c>
      <c r="I484" s="32">
        <v>21</v>
      </c>
      <c r="J484" s="31">
        <f>ROUND(G484*AO484,2)</f>
        <v>0</v>
      </c>
      <c r="K484" s="31">
        <f>ROUND(G484*AP484,2)</f>
        <v>0</v>
      </c>
      <c r="L484" s="31">
        <f>ROUND(G484*H484,2)</f>
        <v>0</v>
      </c>
      <c r="M484" s="31">
        <f>L484*(1+BW484/100)</f>
        <v>0</v>
      </c>
      <c r="N484" s="31">
        <v>0</v>
      </c>
      <c r="O484" s="31">
        <f>G484*N484</f>
        <v>0</v>
      </c>
      <c r="P484" s="33" t="s">
        <v>60</v>
      </c>
      <c r="Z484" s="31">
        <f>ROUND(IF(AQ484="5",BJ484,0),2)</f>
        <v>0</v>
      </c>
      <c r="AB484" s="31">
        <f>ROUND(IF(AQ484="1",BH484,0),2)</f>
        <v>0</v>
      </c>
      <c r="AC484" s="31">
        <f>ROUND(IF(AQ484="1",BI484,0),2)</f>
        <v>0</v>
      </c>
      <c r="AD484" s="31">
        <f>ROUND(IF(AQ484="7",BH484,0),2)</f>
        <v>0</v>
      </c>
      <c r="AE484" s="31">
        <f>ROUND(IF(AQ484="7",BI484,0),2)</f>
        <v>0</v>
      </c>
      <c r="AF484" s="31">
        <f>ROUND(IF(AQ484="2",BH484,0),2)</f>
        <v>0</v>
      </c>
      <c r="AG484" s="31">
        <f>ROUND(IF(AQ484="2",BI484,0),2)</f>
        <v>0</v>
      </c>
      <c r="AH484" s="31">
        <f>ROUND(IF(AQ484="0",BJ484,0),2)</f>
        <v>0</v>
      </c>
      <c r="AI484" s="12" t="s">
        <v>53</v>
      </c>
      <c r="AJ484" s="31">
        <f>IF(AN484=0,L484,0)</f>
        <v>0</v>
      </c>
      <c r="AK484" s="31">
        <f>IF(AN484=12,L484,0)</f>
        <v>0</v>
      </c>
      <c r="AL484" s="31">
        <f>IF(AN484=21,L484,0)</f>
        <v>0</v>
      </c>
      <c r="AN484" s="31">
        <v>21</v>
      </c>
      <c r="AO484" s="31">
        <f>H484*0</f>
        <v>0</v>
      </c>
      <c r="AP484" s="31">
        <f>H484*(1-0)</f>
        <v>0</v>
      </c>
      <c r="AQ484" s="34" t="s">
        <v>68</v>
      </c>
      <c r="AV484" s="31">
        <f>ROUND(AW484+AX484,2)</f>
        <v>0</v>
      </c>
      <c r="AW484" s="31">
        <f>ROUND(G484*AO484,2)</f>
        <v>0</v>
      </c>
      <c r="AX484" s="31">
        <f>ROUND(G484*AP484,2)</f>
        <v>0</v>
      </c>
      <c r="AY484" s="34" t="s">
        <v>516</v>
      </c>
      <c r="AZ484" s="34" t="s">
        <v>295</v>
      </c>
      <c r="BA484" s="12" t="s">
        <v>63</v>
      </c>
      <c r="BC484" s="31">
        <f>AW484+AX484</f>
        <v>0</v>
      </c>
      <c r="BD484" s="31">
        <f>H484/(100-BE484)*100</f>
        <v>0</v>
      </c>
      <c r="BE484" s="31">
        <v>0</v>
      </c>
      <c r="BF484" s="31">
        <f>O484</f>
        <v>0</v>
      </c>
      <c r="BH484" s="31">
        <f>G484*AO484</f>
        <v>0</v>
      </c>
      <c r="BI484" s="31">
        <f>G484*AP484</f>
        <v>0</v>
      </c>
      <c r="BJ484" s="31">
        <f>G484*H484</f>
        <v>0</v>
      </c>
      <c r="BK484" s="34" t="s">
        <v>64</v>
      </c>
      <c r="BL484" s="31"/>
      <c r="BW484" s="31">
        <f>I484</f>
        <v>21</v>
      </c>
      <c r="BX484" s="4" t="s">
        <v>438</v>
      </c>
    </row>
    <row r="485" spans="1:76" x14ac:dyDescent="0.25">
      <c r="A485" s="2">
        <f>A484+1</f>
        <v>177</v>
      </c>
      <c r="B485" s="3" t="s">
        <v>53</v>
      </c>
      <c r="C485" s="3" t="s">
        <v>406</v>
      </c>
      <c r="D485" s="378" t="s">
        <v>407</v>
      </c>
      <c r="E485" s="379"/>
      <c r="F485" s="3" t="s">
        <v>71</v>
      </c>
      <c r="G485" s="31">
        <v>693.2</v>
      </c>
      <c r="H485" s="31">
        <v>0</v>
      </c>
      <c r="I485" s="32">
        <v>21</v>
      </c>
      <c r="J485" s="31">
        <f>ROUND(G485*AO485,2)</f>
        <v>0</v>
      </c>
      <c r="K485" s="31">
        <f>ROUND(G485*AP485,2)</f>
        <v>0</v>
      </c>
      <c r="L485" s="31">
        <f>ROUND(G485*H485,2)</f>
        <v>0</v>
      </c>
      <c r="M485" s="31">
        <f>L485*(1+BW485/100)</f>
        <v>0</v>
      </c>
      <c r="N485" s="31">
        <v>0</v>
      </c>
      <c r="O485" s="31">
        <f>G485*N485</f>
        <v>0</v>
      </c>
      <c r="P485" s="33" t="s">
        <v>60</v>
      </c>
      <c r="Z485" s="31">
        <f>ROUND(IF(AQ485="5",BJ485,0),2)</f>
        <v>0</v>
      </c>
      <c r="AB485" s="31">
        <f>ROUND(IF(AQ485="1",BH485,0),2)</f>
        <v>0</v>
      </c>
      <c r="AC485" s="31">
        <f>ROUND(IF(AQ485="1",BI485,0),2)</f>
        <v>0</v>
      </c>
      <c r="AD485" s="31">
        <f>ROUND(IF(AQ485="7",BH485,0),2)</f>
        <v>0</v>
      </c>
      <c r="AE485" s="31">
        <f>ROUND(IF(AQ485="7",BI485,0),2)</f>
        <v>0</v>
      </c>
      <c r="AF485" s="31">
        <f>ROUND(IF(AQ485="2",BH485,0),2)</f>
        <v>0</v>
      </c>
      <c r="AG485" s="31">
        <f>ROUND(IF(AQ485="2",BI485,0),2)</f>
        <v>0</v>
      </c>
      <c r="AH485" s="31">
        <f>ROUND(IF(AQ485="0",BJ485,0),2)</f>
        <v>0</v>
      </c>
      <c r="AI485" s="12" t="s">
        <v>53</v>
      </c>
      <c r="AJ485" s="31">
        <f>IF(AN485=0,L485,0)</f>
        <v>0</v>
      </c>
      <c r="AK485" s="31">
        <f>IF(AN485=12,L485,0)</f>
        <v>0</v>
      </c>
      <c r="AL485" s="31">
        <f>IF(AN485=21,L485,0)</f>
        <v>0</v>
      </c>
      <c r="AN485" s="31">
        <v>21</v>
      </c>
      <c r="AO485" s="31">
        <f>H485*0</f>
        <v>0</v>
      </c>
      <c r="AP485" s="31">
        <f>H485*(1-0)</f>
        <v>0</v>
      </c>
      <c r="AQ485" s="34" t="s">
        <v>68</v>
      </c>
      <c r="AV485" s="31">
        <f>ROUND(AW485+AX485,2)</f>
        <v>0</v>
      </c>
      <c r="AW485" s="31">
        <f>ROUND(G485*AO485,2)</f>
        <v>0</v>
      </c>
      <c r="AX485" s="31">
        <f>ROUND(G485*AP485,2)</f>
        <v>0</v>
      </c>
      <c r="AY485" s="34" t="s">
        <v>516</v>
      </c>
      <c r="AZ485" s="34" t="s">
        <v>295</v>
      </c>
      <c r="BA485" s="12" t="s">
        <v>63</v>
      </c>
      <c r="BC485" s="31">
        <f>AW485+AX485</f>
        <v>0</v>
      </c>
      <c r="BD485" s="31">
        <f>H485/(100-BE485)*100</f>
        <v>0</v>
      </c>
      <c r="BE485" s="31">
        <v>0</v>
      </c>
      <c r="BF485" s="31">
        <f>O485</f>
        <v>0</v>
      </c>
      <c r="BH485" s="31">
        <f>G485*AO485</f>
        <v>0</v>
      </c>
      <c r="BI485" s="31">
        <f>G485*AP485</f>
        <v>0</v>
      </c>
      <c r="BJ485" s="31">
        <f>G485*H485</f>
        <v>0</v>
      </c>
      <c r="BK485" s="34" t="s">
        <v>64</v>
      </c>
      <c r="BL485" s="31"/>
      <c r="BW485" s="31">
        <f>I485</f>
        <v>21</v>
      </c>
      <c r="BX485" s="4" t="s">
        <v>407</v>
      </c>
    </row>
    <row r="486" spans="1:76" x14ac:dyDescent="0.25">
      <c r="A486" s="35"/>
      <c r="D486" s="87" t="s">
        <v>1179</v>
      </c>
      <c r="E486" s="102" t="s">
        <v>53</v>
      </c>
      <c r="G486" s="37">
        <v>693.2</v>
      </c>
      <c r="P486" s="38"/>
      <c r="BX486" t="s">
        <v>1179</v>
      </c>
    </row>
    <row r="487" spans="1:76" x14ac:dyDescent="0.25">
      <c r="A487" s="2">
        <f>A485+1</f>
        <v>178</v>
      </c>
      <c r="B487" s="3" t="s">
        <v>53</v>
      </c>
      <c r="C487" s="3" t="s">
        <v>413</v>
      </c>
      <c r="D487" s="310" t="s">
        <v>838</v>
      </c>
      <c r="E487" s="307"/>
      <c r="F487" s="3" t="s">
        <v>71</v>
      </c>
      <c r="G487" s="287">
        <v>693.2</v>
      </c>
      <c r="H487" s="31">
        <v>0</v>
      </c>
      <c r="I487" s="32">
        <v>21</v>
      </c>
      <c r="J487" s="31">
        <f>ROUND(G487*AO487,2)</f>
        <v>0</v>
      </c>
      <c r="K487" s="31">
        <f>ROUND(G487*AP487,2)</f>
        <v>0</v>
      </c>
      <c r="L487" s="31">
        <f>ROUND(G487*H487,2)</f>
        <v>0</v>
      </c>
      <c r="M487" s="31">
        <f>L487*(1+BW487/100)</f>
        <v>0</v>
      </c>
      <c r="N487" s="31">
        <v>0</v>
      </c>
      <c r="O487" s="31">
        <f>G487*N487</f>
        <v>0</v>
      </c>
      <c r="P487" s="33" t="s">
        <v>60</v>
      </c>
      <c r="Z487" s="31">
        <f>ROUND(IF(AQ487="5",BJ487,0),2)</f>
        <v>0</v>
      </c>
      <c r="AB487" s="31">
        <f>ROUND(IF(AQ487="1",BH487,0),2)</f>
        <v>0</v>
      </c>
      <c r="AC487" s="31">
        <f>ROUND(IF(AQ487="1",BI487,0),2)</f>
        <v>0</v>
      </c>
      <c r="AD487" s="31">
        <f>ROUND(IF(AQ487="7",BH487,0),2)</f>
        <v>0</v>
      </c>
      <c r="AE487" s="31">
        <f>ROUND(IF(AQ487="7",BI487,0),2)</f>
        <v>0</v>
      </c>
      <c r="AF487" s="31">
        <f>ROUND(IF(AQ487="2",BH487,0),2)</f>
        <v>0</v>
      </c>
      <c r="AG487" s="31">
        <f>ROUND(IF(AQ487="2",BI487,0),2)</f>
        <v>0</v>
      </c>
      <c r="AH487" s="31">
        <f>ROUND(IF(AQ487="0",BJ487,0),2)</f>
        <v>0</v>
      </c>
      <c r="AI487" s="12" t="s">
        <v>53</v>
      </c>
      <c r="AJ487" s="31">
        <f>IF(AN487=0,L487,0)</f>
        <v>0</v>
      </c>
      <c r="AK487" s="31">
        <f>IF(AN487=12,L487,0)</f>
        <v>0</v>
      </c>
      <c r="AL487" s="31">
        <f>IF(AN487=21,L487,0)</f>
        <v>0</v>
      </c>
      <c r="AN487" s="31">
        <v>21</v>
      </c>
      <c r="AO487" s="31">
        <f>H487*0</f>
        <v>0</v>
      </c>
      <c r="AP487" s="31">
        <f>H487*(1-0)</f>
        <v>0</v>
      </c>
      <c r="AQ487" s="34" t="s">
        <v>68</v>
      </c>
      <c r="AV487" s="31">
        <f>ROUND(AW487+AX487,2)</f>
        <v>0</v>
      </c>
      <c r="AW487" s="31">
        <f>ROUND(G487*AO487,2)</f>
        <v>0</v>
      </c>
      <c r="AX487" s="31">
        <f>ROUND(G487*AP487,2)</f>
        <v>0</v>
      </c>
      <c r="AY487" s="34" t="s">
        <v>516</v>
      </c>
      <c r="AZ487" s="34" t="s">
        <v>295</v>
      </c>
      <c r="BA487" s="12" t="s">
        <v>63</v>
      </c>
      <c r="BC487" s="31">
        <f>AW487+AX487</f>
        <v>0</v>
      </c>
      <c r="BD487" s="31">
        <f>H487/(100-BE487)*100</f>
        <v>0</v>
      </c>
      <c r="BE487" s="31">
        <v>0</v>
      </c>
      <c r="BF487" s="31">
        <f>O487</f>
        <v>0</v>
      </c>
      <c r="BH487" s="31">
        <f>G487*AO487</f>
        <v>0</v>
      </c>
      <c r="BI487" s="31">
        <f>G487*AP487</f>
        <v>0</v>
      </c>
      <c r="BJ487" s="31">
        <f>G487*H487</f>
        <v>0</v>
      </c>
      <c r="BK487" s="34" t="s">
        <v>64</v>
      </c>
      <c r="BL487" s="31"/>
      <c r="BW487" s="31">
        <f>I487</f>
        <v>21</v>
      </c>
      <c r="BX487" s="4" t="s">
        <v>838</v>
      </c>
    </row>
    <row r="488" spans="1:76" x14ac:dyDescent="0.25">
      <c r="A488" s="2">
        <f>A487+1</f>
        <v>179</v>
      </c>
      <c r="B488" s="3" t="s">
        <v>53</v>
      </c>
      <c r="C488" s="3" t="s">
        <v>510</v>
      </c>
      <c r="D488" s="310" t="s">
        <v>511</v>
      </c>
      <c r="E488" s="307"/>
      <c r="F488" s="3" t="s">
        <v>185</v>
      </c>
      <c r="G488" s="31">
        <v>5</v>
      </c>
      <c r="H488" s="31">
        <v>0</v>
      </c>
      <c r="I488" s="32">
        <v>21</v>
      </c>
      <c r="J488" s="31">
        <f>ROUND(G488*AO488,2)</f>
        <v>0</v>
      </c>
      <c r="K488" s="31">
        <f>ROUND(G488*AP488,2)</f>
        <v>0</v>
      </c>
      <c r="L488" s="31">
        <f>ROUND(G488*H488,2)</f>
        <v>0</v>
      </c>
      <c r="M488" s="31">
        <f>L488*(1+BW488/100)</f>
        <v>0</v>
      </c>
      <c r="N488" s="31">
        <v>0</v>
      </c>
      <c r="O488" s="31">
        <f>G488*N488</f>
        <v>0</v>
      </c>
      <c r="P488" s="33" t="s">
        <v>53</v>
      </c>
      <c r="Z488" s="31">
        <f>ROUND(IF(AQ488="5",BJ488,0),2)</f>
        <v>0</v>
      </c>
      <c r="AB488" s="31">
        <f>ROUND(IF(AQ488="1",BH488,0),2)</f>
        <v>0</v>
      </c>
      <c r="AC488" s="31">
        <f>ROUND(IF(AQ488="1",BI488,0),2)</f>
        <v>0</v>
      </c>
      <c r="AD488" s="31">
        <f>ROUND(IF(AQ488="7",BH488,0),2)</f>
        <v>0</v>
      </c>
      <c r="AE488" s="31">
        <f>ROUND(IF(AQ488="7",BI488,0),2)</f>
        <v>0</v>
      </c>
      <c r="AF488" s="31">
        <f>ROUND(IF(AQ488="2",BH488,0),2)</f>
        <v>0</v>
      </c>
      <c r="AG488" s="31">
        <f>ROUND(IF(AQ488="2",BI488,0),2)</f>
        <v>0</v>
      </c>
      <c r="AH488" s="31">
        <f>ROUND(IF(AQ488="0",BJ488,0),2)</f>
        <v>0</v>
      </c>
      <c r="AI488" s="12" t="s">
        <v>53</v>
      </c>
      <c r="AJ488" s="31">
        <f>IF(AN488=0,L488,0)</f>
        <v>0</v>
      </c>
      <c r="AK488" s="31">
        <f>IF(AN488=12,L488,0)</f>
        <v>0</v>
      </c>
      <c r="AL488" s="31">
        <f>IF(AN488=21,L488,0)</f>
        <v>0</v>
      </c>
      <c r="AN488" s="31">
        <v>21</v>
      </c>
      <c r="AO488" s="31">
        <f>H488*0</f>
        <v>0</v>
      </c>
      <c r="AP488" s="31">
        <f>H488*(1-0)</f>
        <v>0</v>
      </c>
      <c r="AQ488" s="34" t="s">
        <v>68</v>
      </c>
      <c r="AV488" s="31">
        <f>ROUND(AW488+AX488,2)</f>
        <v>0</v>
      </c>
      <c r="AW488" s="31">
        <f>ROUND(G488*AO488,2)</f>
        <v>0</v>
      </c>
      <c r="AX488" s="31">
        <f>ROUND(G488*AP488,2)</f>
        <v>0</v>
      </c>
      <c r="AY488" s="34" t="s">
        <v>516</v>
      </c>
      <c r="AZ488" s="34" t="s">
        <v>295</v>
      </c>
      <c r="BA488" s="12" t="s">
        <v>63</v>
      </c>
      <c r="BC488" s="31">
        <f>AW488+AX488</f>
        <v>0</v>
      </c>
      <c r="BD488" s="31">
        <f>H488/(100-BE488)*100</f>
        <v>0</v>
      </c>
      <c r="BE488" s="31">
        <v>0</v>
      </c>
      <c r="BF488" s="31">
        <f>O488</f>
        <v>0</v>
      </c>
      <c r="BH488" s="31">
        <f>G488*AO488</f>
        <v>0</v>
      </c>
      <c r="BI488" s="31">
        <f>G488*AP488</f>
        <v>0</v>
      </c>
      <c r="BJ488" s="31">
        <f>G488*H488</f>
        <v>0</v>
      </c>
      <c r="BK488" s="34" t="s">
        <v>64</v>
      </c>
      <c r="BL488" s="31"/>
      <c r="BW488" s="31">
        <f>I488</f>
        <v>21</v>
      </c>
      <c r="BX488" s="4" t="s">
        <v>511</v>
      </c>
    </row>
    <row r="489" spans="1:76" x14ac:dyDescent="0.25">
      <c r="A489" s="2">
        <f>A488+1</f>
        <v>180</v>
      </c>
      <c r="B489" s="3" t="s">
        <v>53</v>
      </c>
      <c r="C489" s="3" t="s">
        <v>512</v>
      </c>
      <c r="D489" s="310" t="s">
        <v>513</v>
      </c>
      <c r="E489" s="307"/>
      <c r="F489" s="3" t="s">
        <v>185</v>
      </c>
      <c r="G489" s="31">
        <v>5</v>
      </c>
      <c r="H489" s="31">
        <v>0</v>
      </c>
      <c r="I489" s="32">
        <v>21</v>
      </c>
      <c r="J489" s="31">
        <f>ROUND(G489*AO489,2)</f>
        <v>0</v>
      </c>
      <c r="K489" s="31">
        <f>ROUND(G489*AP489,2)</f>
        <v>0</v>
      </c>
      <c r="L489" s="31">
        <f>ROUND(G489*H489,2)</f>
        <v>0</v>
      </c>
      <c r="M489" s="31">
        <f>L489*(1+BW489/100)</f>
        <v>0</v>
      </c>
      <c r="N489" s="31">
        <v>0</v>
      </c>
      <c r="O489" s="31">
        <f>G489*N489</f>
        <v>0</v>
      </c>
      <c r="P489" s="33" t="s">
        <v>53</v>
      </c>
      <c r="Z489" s="31">
        <f>ROUND(IF(AQ489="5",BJ489,0),2)</f>
        <v>0</v>
      </c>
      <c r="AB489" s="31">
        <f>ROUND(IF(AQ489="1",BH489,0),2)</f>
        <v>0</v>
      </c>
      <c r="AC489" s="31">
        <f>ROUND(IF(AQ489="1",BI489,0),2)</f>
        <v>0</v>
      </c>
      <c r="AD489" s="31">
        <f>ROUND(IF(AQ489="7",BH489,0),2)</f>
        <v>0</v>
      </c>
      <c r="AE489" s="31">
        <f>ROUND(IF(AQ489="7",BI489,0),2)</f>
        <v>0</v>
      </c>
      <c r="AF489" s="31">
        <f>ROUND(IF(AQ489="2",BH489,0),2)</f>
        <v>0</v>
      </c>
      <c r="AG489" s="31">
        <f>ROUND(IF(AQ489="2",BI489,0),2)</f>
        <v>0</v>
      </c>
      <c r="AH489" s="31">
        <f>ROUND(IF(AQ489="0",BJ489,0),2)</f>
        <v>0</v>
      </c>
      <c r="AI489" s="12" t="s">
        <v>53</v>
      </c>
      <c r="AJ489" s="31">
        <f>IF(AN489=0,L489,0)</f>
        <v>0</v>
      </c>
      <c r="AK489" s="31">
        <f>IF(AN489=12,L489,0)</f>
        <v>0</v>
      </c>
      <c r="AL489" s="31">
        <f>IF(AN489=21,L489,0)</f>
        <v>0</v>
      </c>
      <c r="AN489" s="31">
        <v>21</v>
      </c>
      <c r="AO489" s="31">
        <f>H489*1</f>
        <v>0</v>
      </c>
      <c r="AP489" s="31">
        <f>H489*(1-1)</f>
        <v>0</v>
      </c>
      <c r="AQ489" s="34" t="s">
        <v>56</v>
      </c>
      <c r="AV489" s="31">
        <f>ROUND(AW489+AX489,2)</f>
        <v>0</v>
      </c>
      <c r="AW489" s="31">
        <f>ROUND(G489*AO489,2)</f>
        <v>0</v>
      </c>
      <c r="AX489" s="31">
        <f>ROUND(G489*AP489,2)</f>
        <v>0</v>
      </c>
      <c r="AY489" s="34" t="s">
        <v>516</v>
      </c>
      <c r="AZ489" s="34" t="s">
        <v>295</v>
      </c>
      <c r="BA489" s="12" t="s">
        <v>63</v>
      </c>
      <c r="BC489" s="31">
        <f>AW489+AX489</f>
        <v>0</v>
      </c>
      <c r="BD489" s="31">
        <f>H489/(100-BE489)*100</f>
        <v>0</v>
      </c>
      <c r="BE489" s="31">
        <v>0</v>
      </c>
      <c r="BF489" s="31">
        <f>O489</f>
        <v>0</v>
      </c>
      <c r="BH489" s="31">
        <f>G489*AO489</f>
        <v>0</v>
      </c>
      <c r="BI489" s="31">
        <f>G489*AP489</f>
        <v>0</v>
      </c>
      <c r="BJ489" s="31">
        <f>G489*H489</f>
        <v>0</v>
      </c>
      <c r="BK489" s="34" t="s">
        <v>203</v>
      </c>
      <c r="BL489" s="31"/>
      <c r="BW489" s="31">
        <f>I489</f>
        <v>21</v>
      </c>
      <c r="BX489" s="4" t="s">
        <v>513</v>
      </c>
    </row>
    <row r="490" spans="1:76" x14ac:dyDescent="0.25">
      <c r="A490" s="39" t="s">
        <v>53</v>
      </c>
      <c r="B490" s="40" t="s">
        <v>53</v>
      </c>
      <c r="C490" s="40" t="s">
        <v>536</v>
      </c>
      <c r="D490" s="375" t="s">
        <v>537</v>
      </c>
      <c r="E490" s="376"/>
      <c r="F490" s="41" t="s">
        <v>3</v>
      </c>
      <c r="G490" s="41" t="s">
        <v>3</v>
      </c>
      <c r="H490" s="41" t="s">
        <v>3</v>
      </c>
      <c r="I490" s="41" t="s">
        <v>3</v>
      </c>
      <c r="J490" s="1">
        <f>SUM(J491:J503)</f>
        <v>0</v>
      </c>
      <c r="K490" s="1">
        <f>SUM(K491:K503)</f>
        <v>0</v>
      </c>
      <c r="L490" s="1">
        <f>SUM(L491:L503)</f>
        <v>0</v>
      </c>
      <c r="M490" s="1">
        <f>SUM(M491:M503)</f>
        <v>0</v>
      </c>
      <c r="N490" s="12" t="s">
        <v>53</v>
      </c>
      <c r="O490" s="1">
        <f>SUM(O491:O503)</f>
        <v>139.42413119999998</v>
      </c>
      <c r="P490" s="42" t="s">
        <v>53</v>
      </c>
      <c r="AI490" s="12" t="s">
        <v>53</v>
      </c>
      <c r="AS490" s="1">
        <f>SUM(AJ491:AJ503)</f>
        <v>0</v>
      </c>
      <c r="AT490" s="1">
        <f>SUM(AK491:AK503)</f>
        <v>0</v>
      </c>
      <c r="AU490" s="1">
        <f>SUM(AL491:AL503)</f>
        <v>0</v>
      </c>
      <c r="BX490" t="s">
        <v>537</v>
      </c>
    </row>
    <row r="491" spans="1:76" x14ac:dyDescent="0.25">
      <c r="A491" s="2">
        <f>A489+1</f>
        <v>181</v>
      </c>
      <c r="B491" s="3" t="s">
        <v>53</v>
      </c>
      <c r="C491" s="3" t="s">
        <v>538</v>
      </c>
      <c r="D491" s="378" t="s">
        <v>539</v>
      </c>
      <c r="E491" s="379"/>
      <c r="F491" s="285" t="s">
        <v>134</v>
      </c>
      <c r="G491" s="287">
        <v>305</v>
      </c>
      <c r="H491" s="31">
        <v>0</v>
      </c>
      <c r="I491" s="32">
        <v>21</v>
      </c>
      <c r="J491" s="31">
        <f>ROUND(G491*AO491,2)</f>
        <v>0</v>
      </c>
      <c r="K491" s="31">
        <f>ROUND(G491*AP491,2)</f>
        <v>0</v>
      </c>
      <c r="L491" s="31">
        <f>ROUND(G491*H491,2)</f>
        <v>0</v>
      </c>
      <c r="M491" s="31">
        <f>L491*(1+BW491/100)</f>
        <v>0</v>
      </c>
      <c r="N491" s="31">
        <v>0.25</v>
      </c>
      <c r="O491" s="31">
        <f>G491*N491</f>
        <v>76.25</v>
      </c>
      <c r="P491" s="33" t="s">
        <v>60</v>
      </c>
      <c r="Z491" s="31">
        <f>ROUND(IF(AQ491="5",BJ491,0),2)</f>
        <v>0</v>
      </c>
      <c r="AB491" s="31">
        <f>ROUND(IF(AQ491="1",BH491,0),2)</f>
        <v>0</v>
      </c>
      <c r="AC491" s="31">
        <f>ROUND(IF(AQ491="1",BI491,0),2)</f>
        <v>0</v>
      </c>
      <c r="AD491" s="31">
        <f>ROUND(IF(AQ491="7",BH491,0),2)</f>
        <v>0</v>
      </c>
      <c r="AE491" s="31">
        <f>ROUND(IF(AQ491="7",BI491,0),2)</f>
        <v>0</v>
      </c>
      <c r="AF491" s="31">
        <f>ROUND(IF(AQ491="2",BH491,0),2)</f>
        <v>0</v>
      </c>
      <c r="AG491" s="31">
        <f>ROUND(IF(AQ491="2",BI491,0),2)</f>
        <v>0</v>
      </c>
      <c r="AH491" s="31">
        <f>ROUND(IF(AQ491="0",BJ491,0),2)</f>
        <v>0</v>
      </c>
      <c r="AI491" s="12" t="s">
        <v>53</v>
      </c>
      <c r="AJ491" s="31">
        <f>IF(AN491=0,L491,0)</f>
        <v>0</v>
      </c>
      <c r="AK491" s="31">
        <f>IF(AN491=12,L491,0)</f>
        <v>0</v>
      </c>
      <c r="AL491" s="31">
        <f>IF(AN491=21,L491,0)</f>
        <v>0</v>
      </c>
      <c r="AN491" s="31">
        <v>21</v>
      </c>
      <c r="AO491" s="31">
        <f>H491*0</f>
        <v>0</v>
      </c>
      <c r="AP491" s="31">
        <f>H491*(1-0)</f>
        <v>0</v>
      </c>
      <c r="AQ491" s="34" t="s">
        <v>68</v>
      </c>
      <c r="AV491" s="31">
        <f>ROUND(AW491+AX491,2)</f>
        <v>0</v>
      </c>
      <c r="AW491" s="31">
        <f>ROUND(G491*AO491,2)</f>
        <v>0</v>
      </c>
      <c r="AX491" s="31">
        <f>ROUND(G491*AP491,2)</f>
        <v>0</v>
      </c>
      <c r="AY491" s="34" t="s">
        <v>540</v>
      </c>
      <c r="AZ491" s="34" t="s">
        <v>295</v>
      </c>
      <c r="BA491" s="12" t="s">
        <v>63</v>
      </c>
      <c r="BC491" s="31">
        <f>AW491+AX491</f>
        <v>0</v>
      </c>
      <c r="BD491" s="31">
        <f>H491/(100-BE491)*100</f>
        <v>0</v>
      </c>
      <c r="BE491" s="31">
        <v>0</v>
      </c>
      <c r="BF491" s="31">
        <f>O491</f>
        <v>76.25</v>
      </c>
      <c r="BH491" s="31">
        <f>G491*AO491</f>
        <v>0</v>
      </c>
      <c r="BI491" s="31">
        <f>G491*AP491</f>
        <v>0</v>
      </c>
      <c r="BJ491" s="31">
        <f>G491*H491</f>
        <v>0</v>
      </c>
      <c r="BK491" s="34" t="s">
        <v>64</v>
      </c>
      <c r="BL491" s="31"/>
      <c r="BW491" s="31">
        <f>I491</f>
        <v>21</v>
      </c>
      <c r="BX491" s="4" t="s">
        <v>539</v>
      </c>
    </row>
    <row r="492" spans="1:76" x14ac:dyDescent="0.25">
      <c r="A492" s="43"/>
      <c r="B492" s="44"/>
      <c r="C492" s="44"/>
      <c r="D492" s="201" t="s">
        <v>1158</v>
      </c>
      <c r="E492" s="102" t="s">
        <v>53</v>
      </c>
      <c r="F492" s="283"/>
      <c r="G492" s="289">
        <v>305</v>
      </c>
      <c r="H492" s="44"/>
      <c r="I492" s="44"/>
      <c r="J492" s="44"/>
      <c r="K492" s="44"/>
      <c r="L492" s="44"/>
      <c r="M492" s="44"/>
      <c r="N492" s="44"/>
      <c r="O492" s="44"/>
      <c r="P492" s="45"/>
      <c r="BX492" t="s">
        <v>1158</v>
      </c>
    </row>
    <row r="493" spans="1:76" x14ac:dyDescent="0.25">
      <c r="A493" s="2">
        <f>A491+1</f>
        <v>182</v>
      </c>
      <c r="B493" s="3" t="s">
        <v>53</v>
      </c>
      <c r="C493" s="3" t="s">
        <v>824</v>
      </c>
      <c r="D493" s="310" t="s">
        <v>825</v>
      </c>
      <c r="E493" s="307"/>
      <c r="F493" s="3" t="s">
        <v>134</v>
      </c>
      <c r="G493" s="31">
        <v>380</v>
      </c>
      <c r="H493" s="31">
        <v>0</v>
      </c>
      <c r="I493" s="32">
        <v>21</v>
      </c>
      <c r="J493" s="31">
        <f>ROUND(G493*AO493,2)</f>
        <v>0</v>
      </c>
      <c r="K493" s="31">
        <f>ROUND(G493*AP493,2)</f>
        <v>0</v>
      </c>
      <c r="L493" s="31">
        <f>ROUND(G493*H493,2)</f>
        <v>0</v>
      </c>
      <c r="M493" s="31">
        <f>L493*(1+BW493/100)</f>
        <v>0</v>
      </c>
      <c r="N493" s="31">
        <v>0.15</v>
      </c>
      <c r="O493" s="31">
        <f>G493*N493</f>
        <v>57</v>
      </c>
      <c r="P493" s="33" t="s">
        <v>60</v>
      </c>
      <c r="Z493" s="31">
        <f>ROUND(IF(AQ493="5",BJ493,0),2)</f>
        <v>0</v>
      </c>
      <c r="AB493" s="31">
        <f>ROUND(IF(AQ493="1",BH493,0),2)</f>
        <v>0</v>
      </c>
      <c r="AC493" s="31">
        <f>ROUND(IF(AQ493="1",BI493,0),2)</f>
        <v>0</v>
      </c>
      <c r="AD493" s="31">
        <f>ROUND(IF(AQ493="7",BH493,0),2)</f>
        <v>0</v>
      </c>
      <c r="AE493" s="31">
        <f>ROUND(IF(AQ493="7",BI493,0),2)</f>
        <v>0</v>
      </c>
      <c r="AF493" s="31">
        <f>ROUND(IF(AQ493="2",BH493,0),2)</f>
        <v>0</v>
      </c>
      <c r="AG493" s="31">
        <f>ROUND(IF(AQ493="2",BI493,0),2)</f>
        <v>0</v>
      </c>
      <c r="AH493" s="31">
        <f>ROUND(IF(AQ493="0",BJ493,0),2)</f>
        <v>0</v>
      </c>
      <c r="AI493" s="12" t="s">
        <v>53</v>
      </c>
      <c r="AJ493" s="31">
        <f>IF(AN493=0,L493,0)</f>
        <v>0</v>
      </c>
      <c r="AK493" s="31">
        <f>IF(AN493=12,L493,0)</f>
        <v>0</v>
      </c>
      <c r="AL493" s="31">
        <f>IF(AN493=21,L493,0)</f>
        <v>0</v>
      </c>
      <c r="AN493" s="31">
        <v>21</v>
      </c>
      <c r="AO493" s="31">
        <f>H493*0</f>
        <v>0</v>
      </c>
      <c r="AP493" s="31">
        <f>H493*(1-0)</f>
        <v>0</v>
      </c>
      <c r="AQ493" s="34" t="s">
        <v>68</v>
      </c>
      <c r="AV493" s="31">
        <f>ROUND(AW493+AX493,2)</f>
        <v>0</v>
      </c>
      <c r="AW493" s="31">
        <f>ROUND(G493*AO493,2)</f>
        <v>0</v>
      </c>
      <c r="AX493" s="31">
        <f>ROUND(G493*AP493,2)</f>
        <v>0</v>
      </c>
      <c r="AY493" s="34" t="s">
        <v>540</v>
      </c>
      <c r="AZ493" s="34" t="s">
        <v>295</v>
      </c>
      <c r="BA493" s="12" t="s">
        <v>63</v>
      </c>
      <c r="BC493" s="31">
        <f>AW493+AX493</f>
        <v>0</v>
      </c>
      <c r="BD493" s="31">
        <f>H493/(100-BE493)*100</f>
        <v>0</v>
      </c>
      <c r="BE493" s="31">
        <v>0</v>
      </c>
      <c r="BF493" s="31">
        <f>O493</f>
        <v>57</v>
      </c>
      <c r="BH493" s="31">
        <f>G493*AO493</f>
        <v>0</v>
      </c>
      <c r="BI493" s="31">
        <f>G493*AP493</f>
        <v>0</v>
      </c>
      <c r="BJ493" s="31">
        <f>G493*H493</f>
        <v>0</v>
      </c>
      <c r="BK493" s="34" t="s">
        <v>64</v>
      </c>
      <c r="BL493" s="31"/>
      <c r="BW493" s="31">
        <f>I493</f>
        <v>21</v>
      </c>
      <c r="BX493" s="4" t="s">
        <v>825</v>
      </c>
    </row>
    <row r="494" spans="1:76" x14ac:dyDescent="0.25">
      <c r="A494" s="35"/>
      <c r="D494" s="87" t="s">
        <v>827</v>
      </c>
      <c r="E494" s="36" t="s">
        <v>53</v>
      </c>
      <c r="G494" s="37">
        <v>372</v>
      </c>
      <c r="P494" s="38"/>
      <c r="BX494" t="s">
        <v>827</v>
      </c>
    </row>
    <row r="495" spans="1:76" x14ac:dyDescent="0.25">
      <c r="A495" s="35"/>
      <c r="D495" s="87" t="s">
        <v>826</v>
      </c>
      <c r="E495" s="36" t="s">
        <v>53</v>
      </c>
      <c r="G495" s="37">
        <v>8</v>
      </c>
      <c r="P495" s="38"/>
      <c r="BX495" t="s">
        <v>826</v>
      </c>
    </row>
    <row r="496" spans="1:76" x14ac:dyDescent="0.25">
      <c r="A496" s="2">
        <f>A493+1</f>
        <v>183</v>
      </c>
      <c r="B496" s="3" t="s">
        <v>53</v>
      </c>
      <c r="C496" s="3" t="s">
        <v>541</v>
      </c>
      <c r="D496" s="310" t="s">
        <v>542</v>
      </c>
      <c r="E496" s="307"/>
      <c r="F496" s="3" t="s">
        <v>134</v>
      </c>
      <c r="G496" s="31">
        <v>4</v>
      </c>
      <c r="H496" s="31">
        <v>0</v>
      </c>
      <c r="I496" s="32">
        <v>21</v>
      </c>
      <c r="J496" s="31">
        <f>ROUND(G496*AO496,2)</f>
        <v>0</v>
      </c>
      <c r="K496" s="31">
        <f>ROUND(G496*AP496,2)</f>
        <v>0</v>
      </c>
      <c r="L496" s="31">
        <f>ROUND(G496*H496,2)</f>
        <v>0</v>
      </c>
      <c r="M496" s="31">
        <f>L496*(1+BW496/100)</f>
        <v>0</v>
      </c>
      <c r="N496" s="31">
        <v>0.05</v>
      </c>
      <c r="O496" s="31">
        <f>G496*N496</f>
        <v>0.2</v>
      </c>
      <c r="P496" s="33" t="s">
        <v>60</v>
      </c>
      <c r="Z496" s="31">
        <f>ROUND(IF(AQ496="5",BJ496,0),2)</f>
        <v>0</v>
      </c>
      <c r="AB496" s="31">
        <f>ROUND(IF(AQ496="1",BH496,0),2)</f>
        <v>0</v>
      </c>
      <c r="AC496" s="31">
        <f>ROUND(IF(AQ496="1",BI496,0),2)</f>
        <v>0</v>
      </c>
      <c r="AD496" s="31">
        <f>ROUND(IF(AQ496="7",BH496,0),2)</f>
        <v>0</v>
      </c>
      <c r="AE496" s="31">
        <f>ROUND(IF(AQ496="7",BI496,0),2)</f>
        <v>0</v>
      </c>
      <c r="AF496" s="31">
        <f>ROUND(IF(AQ496="2",BH496,0),2)</f>
        <v>0</v>
      </c>
      <c r="AG496" s="31">
        <f>ROUND(IF(AQ496="2",BI496,0),2)</f>
        <v>0</v>
      </c>
      <c r="AH496" s="31">
        <f>ROUND(IF(AQ496="0",BJ496,0),2)</f>
        <v>0</v>
      </c>
      <c r="AI496" s="12" t="s">
        <v>53</v>
      </c>
      <c r="AJ496" s="31">
        <f>IF(AN496=0,L496,0)</f>
        <v>0</v>
      </c>
      <c r="AK496" s="31">
        <f>IF(AN496=12,L496,0)</f>
        <v>0</v>
      </c>
      <c r="AL496" s="31">
        <f>IF(AN496=21,L496,0)</f>
        <v>0</v>
      </c>
      <c r="AN496" s="31">
        <v>21</v>
      </c>
      <c r="AO496" s="31">
        <f>H496*0</f>
        <v>0</v>
      </c>
      <c r="AP496" s="31">
        <f>H496*(1-0)</f>
        <v>0</v>
      </c>
      <c r="AQ496" s="34" t="s">
        <v>68</v>
      </c>
      <c r="AV496" s="31">
        <f>ROUND(AW496+AX496,2)</f>
        <v>0</v>
      </c>
      <c r="AW496" s="31">
        <f>ROUND(G496*AO496,2)</f>
        <v>0</v>
      </c>
      <c r="AX496" s="31">
        <f>ROUND(G496*AP496,2)</f>
        <v>0</v>
      </c>
      <c r="AY496" s="34" t="s">
        <v>540</v>
      </c>
      <c r="AZ496" s="34" t="s">
        <v>295</v>
      </c>
      <c r="BA496" s="12" t="s">
        <v>63</v>
      </c>
      <c r="BC496" s="31">
        <f>AW496+AX496</f>
        <v>0</v>
      </c>
      <c r="BD496" s="31">
        <f>H496/(100-BE496)*100</f>
        <v>0</v>
      </c>
      <c r="BE496" s="31">
        <v>0</v>
      </c>
      <c r="BF496" s="31">
        <f>O496</f>
        <v>0.2</v>
      </c>
      <c r="BH496" s="31">
        <f>G496*AO496</f>
        <v>0</v>
      </c>
      <c r="BI496" s="31">
        <f>G496*AP496</f>
        <v>0</v>
      </c>
      <c r="BJ496" s="31">
        <f>G496*H496</f>
        <v>0</v>
      </c>
      <c r="BK496" s="34" t="s">
        <v>64</v>
      </c>
      <c r="BL496" s="31"/>
      <c r="BW496" s="31">
        <f>I496</f>
        <v>21</v>
      </c>
      <c r="BX496" s="4" t="s">
        <v>542</v>
      </c>
    </row>
    <row r="497" spans="1:76" x14ac:dyDescent="0.25">
      <c r="A497" s="43"/>
      <c r="B497" s="44"/>
      <c r="C497" s="44"/>
      <c r="D497" s="87" t="s">
        <v>543</v>
      </c>
      <c r="E497" s="36" t="s">
        <v>53</v>
      </c>
      <c r="F497" s="44"/>
      <c r="G497" s="37">
        <v>4</v>
      </c>
      <c r="H497" s="44"/>
      <c r="I497" s="44"/>
      <c r="J497" s="44"/>
      <c r="K497" s="44"/>
      <c r="L497" s="44"/>
      <c r="M497" s="44"/>
      <c r="N497" s="44"/>
      <c r="O497" s="44"/>
      <c r="P497" s="45"/>
      <c r="BX497" t="s">
        <v>543</v>
      </c>
    </row>
    <row r="498" spans="1:76" x14ac:dyDescent="0.25">
      <c r="A498" s="2">
        <f>A496+1</f>
        <v>184</v>
      </c>
      <c r="B498" s="3" t="s">
        <v>53</v>
      </c>
      <c r="C498" s="3" t="s">
        <v>544</v>
      </c>
      <c r="D498" s="310" t="s">
        <v>545</v>
      </c>
      <c r="E498" s="307"/>
      <c r="F498" s="3" t="s">
        <v>134</v>
      </c>
      <c r="G498" s="31">
        <v>283.04000000000002</v>
      </c>
      <c r="H498" s="31">
        <v>0</v>
      </c>
      <c r="I498" s="32">
        <v>21</v>
      </c>
      <c r="J498" s="31">
        <f>ROUND(G498*AO498,2)</f>
        <v>0</v>
      </c>
      <c r="K498" s="31">
        <f>ROUND(G498*AP498,2)</f>
        <v>0</v>
      </c>
      <c r="L498" s="31">
        <f>ROUND(G498*H498,2)</f>
        <v>0</v>
      </c>
      <c r="M498" s="31">
        <f>L498*(1+BW498/100)</f>
        <v>0</v>
      </c>
      <c r="N498" s="31">
        <v>2.053E-2</v>
      </c>
      <c r="O498" s="31">
        <f>G498*N498</f>
        <v>5.8108112000000007</v>
      </c>
      <c r="P498" s="33" t="s">
        <v>60</v>
      </c>
      <c r="Z498" s="31">
        <f>ROUND(IF(AQ498="5",BJ498,0),2)</f>
        <v>0</v>
      </c>
      <c r="AB498" s="31">
        <f>ROUND(IF(AQ498="1",BH498,0),2)</f>
        <v>0</v>
      </c>
      <c r="AC498" s="31">
        <f>ROUND(IF(AQ498="1",BI498,0),2)</f>
        <v>0</v>
      </c>
      <c r="AD498" s="31">
        <f>ROUND(IF(AQ498="7",BH498,0),2)</f>
        <v>0</v>
      </c>
      <c r="AE498" s="31">
        <f>ROUND(IF(AQ498="7",BI498,0),2)</f>
        <v>0</v>
      </c>
      <c r="AF498" s="31">
        <f>ROUND(IF(AQ498="2",BH498,0),2)</f>
        <v>0</v>
      </c>
      <c r="AG498" s="31">
        <f>ROUND(IF(AQ498="2",BI498,0),2)</f>
        <v>0</v>
      </c>
      <c r="AH498" s="31">
        <f>ROUND(IF(AQ498="0",BJ498,0),2)</f>
        <v>0</v>
      </c>
      <c r="AI498" s="12" t="s">
        <v>53</v>
      </c>
      <c r="AJ498" s="31">
        <f>IF(AN498=0,L498,0)</f>
        <v>0</v>
      </c>
      <c r="AK498" s="31">
        <f>IF(AN498=12,L498,0)</f>
        <v>0</v>
      </c>
      <c r="AL498" s="31">
        <f>IF(AN498=21,L498,0)</f>
        <v>0</v>
      </c>
      <c r="AN498" s="31">
        <v>21</v>
      </c>
      <c r="AO498" s="31">
        <f>H498*0</f>
        <v>0</v>
      </c>
      <c r="AP498" s="31">
        <f>H498*(1-0)</f>
        <v>0</v>
      </c>
      <c r="AQ498" s="34" t="s">
        <v>68</v>
      </c>
      <c r="AV498" s="31">
        <f>ROUND(AW498+AX498,2)</f>
        <v>0</v>
      </c>
      <c r="AW498" s="31">
        <f>ROUND(G498*AO498,2)</f>
        <v>0</v>
      </c>
      <c r="AX498" s="31">
        <f>ROUND(G498*AP498,2)</f>
        <v>0</v>
      </c>
      <c r="AY498" s="34" t="s">
        <v>540</v>
      </c>
      <c r="AZ498" s="34" t="s">
        <v>295</v>
      </c>
      <c r="BA498" s="12" t="s">
        <v>63</v>
      </c>
      <c r="BC498" s="31">
        <f>AW498+AX498</f>
        <v>0</v>
      </c>
      <c r="BD498" s="31">
        <f>H498/(100-BE498)*100</f>
        <v>0</v>
      </c>
      <c r="BE498" s="31">
        <v>0</v>
      </c>
      <c r="BF498" s="31">
        <f>O498</f>
        <v>5.8108112000000007</v>
      </c>
      <c r="BH498" s="31">
        <f>G498*AO498</f>
        <v>0</v>
      </c>
      <c r="BI498" s="31">
        <f>G498*AP498</f>
        <v>0</v>
      </c>
      <c r="BJ498" s="31">
        <f>G498*H498</f>
        <v>0</v>
      </c>
      <c r="BK498" s="34" t="s">
        <v>64</v>
      </c>
      <c r="BL498" s="31"/>
      <c r="BW498" s="31">
        <f>I498</f>
        <v>21</v>
      </c>
      <c r="BX498" s="4" t="s">
        <v>545</v>
      </c>
    </row>
    <row r="499" spans="1:76" ht="25.5" x14ac:dyDescent="0.25">
      <c r="A499" s="43"/>
      <c r="B499" s="44"/>
      <c r="C499" s="44"/>
      <c r="D499" s="87" t="s">
        <v>843</v>
      </c>
      <c r="E499" s="36" t="s">
        <v>53</v>
      </c>
      <c r="F499" s="44"/>
      <c r="G499" s="37">
        <v>89.4</v>
      </c>
      <c r="H499" s="44"/>
      <c r="I499" s="44"/>
      <c r="J499" s="44"/>
      <c r="K499" s="44"/>
      <c r="L499" s="44"/>
      <c r="M499" s="44"/>
      <c r="N499" s="44"/>
      <c r="O499" s="44"/>
      <c r="P499" s="45"/>
      <c r="BX499" t="s">
        <v>843</v>
      </c>
    </row>
    <row r="500" spans="1:76" ht="25.5" x14ac:dyDescent="0.25">
      <c r="A500" s="43"/>
      <c r="B500" s="44"/>
      <c r="C500" s="44"/>
      <c r="D500" s="87" t="s">
        <v>874</v>
      </c>
      <c r="E500" s="36" t="s">
        <v>53</v>
      </c>
      <c r="F500" s="44"/>
      <c r="G500" s="37">
        <v>193.64000000000001</v>
      </c>
      <c r="H500" s="44"/>
      <c r="I500" s="44"/>
      <c r="J500" s="44"/>
      <c r="K500" s="44"/>
      <c r="L500" s="44"/>
      <c r="M500" s="44"/>
      <c r="N500" s="44"/>
      <c r="O500" s="44"/>
      <c r="P500" s="45"/>
      <c r="BX500" t="s">
        <v>874</v>
      </c>
    </row>
    <row r="501" spans="1:76" x14ac:dyDescent="0.25">
      <c r="A501" s="2">
        <f>A498+1</f>
        <v>185</v>
      </c>
      <c r="B501" s="3" t="s">
        <v>53</v>
      </c>
      <c r="C501" s="3" t="s">
        <v>546</v>
      </c>
      <c r="D501" s="310" t="s">
        <v>547</v>
      </c>
      <c r="E501" s="307"/>
      <c r="F501" s="3" t="s">
        <v>134</v>
      </c>
      <c r="G501" s="31">
        <v>1</v>
      </c>
      <c r="H501" s="31">
        <v>0</v>
      </c>
      <c r="I501" s="32">
        <v>21</v>
      </c>
      <c r="J501" s="31">
        <f>ROUND(G501*AO501,2)</f>
        <v>0</v>
      </c>
      <c r="K501" s="31">
        <f>ROUND(G501*AP501,2)</f>
        <v>0</v>
      </c>
      <c r="L501" s="31">
        <f>ROUND(G501*H501,2)</f>
        <v>0</v>
      </c>
      <c r="M501" s="31">
        <f>L501*(1+BW501/100)</f>
        <v>0</v>
      </c>
      <c r="N501" s="31">
        <v>3.32E-3</v>
      </c>
      <c r="O501" s="31">
        <f>G501*N501</f>
        <v>3.32E-3</v>
      </c>
      <c r="P501" s="33" t="s">
        <v>60</v>
      </c>
      <c r="Z501" s="31">
        <f>ROUND(IF(AQ501="5",BJ501,0),2)</f>
        <v>0</v>
      </c>
      <c r="AB501" s="31">
        <f>ROUND(IF(AQ501="1",BH501,0),2)</f>
        <v>0</v>
      </c>
      <c r="AC501" s="31">
        <f>ROUND(IF(AQ501="1",BI501,0),2)</f>
        <v>0</v>
      </c>
      <c r="AD501" s="31">
        <f>ROUND(IF(AQ501="7",BH501,0),2)</f>
        <v>0</v>
      </c>
      <c r="AE501" s="31">
        <f>ROUND(IF(AQ501="7",BI501,0),2)</f>
        <v>0</v>
      </c>
      <c r="AF501" s="31">
        <f>ROUND(IF(AQ501="2",BH501,0),2)</f>
        <v>0</v>
      </c>
      <c r="AG501" s="31">
        <f>ROUND(IF(AQ501="2",BI501,0),2)</f>
        <v>0</v>
      </c>
      <c r="AH501" s="31">
        <f>ROUND(IF(AQ501="0",BJ501,0),2)</f>
        <v>0</v>
      </c>
      <c r="AI501" s="12" t="s">
        <v>53</v>
      </c>
      <c r="AJ501" s="31">
        <f>IF(AN501=0,L501,0)</f>
        <v>0</v>
      </c>
      <c r="AK501" s="31">
        <f>IF(AN501=12,L501,0)</f>
        <v>0</v>
      </c>
      <c r="AL501" s="31">
        <f>IF(AN501=21,L501,0)</f>
        <v>0</v>
      </c>
      <c r="AN501" s="31">
        <v>21</v>
      </c>
      <c r="AO501" s="31">
        <f>H501*0</f>
        <v>0</v>
      </c>
      <c r="AP501" s="31">
        <f>H501*(1-0)</f>
        <v>0</v>
      </c>
      <c r="AQ501" s="34" t="s">
        <v>68</v>
      </c>
      <c r="AV501" s="31">
        <f>ROUND(AW501+AX501,2)</f>
        <v>0</v>
      </c>
      <c r="AW501" s="31">
        <f>ROUND(G501*AO501,2)</f>
        <v>0</v>
      </c>
      <c r="AX501" s="31">
        <f>ROUND(G501*AP501,2)</f>
        <v>0</v>
      </c>
      <c r="AY501" s="34" t="s">
        <v>540</v>
      </c>
      <c r="AZ501" s="34" t="s">
        <v>295</v>
      </c>
      <c r="BA501" s="12" t="s">
        <v>63</v>
      </c>
      <c r="BC501" s="31">
        <f>AW501+AX501</f>
        <v>0</v>
      </c>
      <c r="BD501" s="31">
        <f>H501/(100-BE501)*100</f>
        <v>0</v>
      </c>
      <c r="BE501" s="31">
        <v>0</v>
      </c>
      <c r="BF501" s="31">
        <f>O501</f>
        <v>3.32E-3</v>
      </c>
      <c r="BH501" s="31">
        <f>G501*AO501</f>
        <v>0</v>
      </c>
      <c r="BI501" s="31">
        <f>G501*AP501</f>
        <v>0</v>
      </c>
      <c r="BJ501" s="31">
        <f>G501*H501</f>
        <v>0</v>
      </c>
      <c r="BK501" s="34" t="s">
        <v>64</v>
      </c>
      <c r="BL501" s="31"/>
      <c r="BW501" s="31">
        <f>I501</f>
        <v>21</v>
      </c>
      <c r="BX501" s="4" t="s">
        <v>547</v>
      </c>
    </row>
    <row r="502" spans="1:76" x14ac:dyDescent="0.25">
      <c r="A502" s="43"/>
      <c r="B502" s="44"/>
      <c r="C502" s="44"/>
      <c r="D502" s="87" t="s">
        <v>823</v>
      </c>
      <c r="E502" s="36" t="s">
        <v>53</v>
      </c>
      <c r="F502" s="44"/>
      <c r="G502" s="37">
        <v>1</v>
      </c>
      <c r="H502" s="44"/>
      <c r="I502" s="44"/>
      <c r="J502" s="44"/>
      <c r="K502" s="44"/>
      <c r="L502" s="44"/>
      <c r="M502" s="44"/>
      <c r="N502" s="44"/>
      <c r="O502" s="44"/>
      <c r="P502" s="45"/>
      <c r="BX502" t="s">
        <v>823</v>
      </c>
    </row>
    <row r="503" spans="1:76" x14ac:dyDescent="0.25">
      <c r="A503" s="2">
        <f>A501+1</f>
        <v>186</v>
      </c>
      <c r="B503" s="3" t="s">
        <v>53</v>
      </c>
      <c r="C503" s="3" t="s">
        <v>548</v>
      </c>
      <c r="D503" s="310" t="s">
        <v>549</v>
      </c>
      <c r="E503" s="307"/>
      <c r="F503" s="3" t="s">
        <v>134</v>
      </c>
      <c r="G503" s="31">
        <v>8</v>
      </c>
      <c r="H503" s="31">
        <v>0</v>
      </c>
      <c r="I503" s="32">
        <v>21</v>
      </c>
      <c r="J503" s="31">
        <f>ROUND(G503*AO503,2)</f>
        <v>0</v>
      </c>
      <c r="K503" s="31">
        <f>ROUND(G503*AP503,2)</f>
        <v>0</v>
      </c>
      <c r="L503" s="31">
        <f>ROUND(G503*H503,2)</f>
        <v>0</v>
      </c>
      <c r="M503" s="31">
        <f>L503*(1+BW503/100)</f>
        <v>0</v>
      </c>
      <c r="N503" s="31">
        <v>0.02</v>
      </c>
      <c r="O503" s="31">
        <f>G503*N503</f>
        <v>0.16</v>
      </c>
      <c r="P503" s="33" t="s">
        <v>60</v>
      </c>
      <c r="Z503" s="31">
        <f>ROUND(IF(AQ503="5",BJ503,0),2)</f>
        <v>0</v>
      </c>
      <c r="AB503" s="31">
        <f>ROUND(IF(AQ503="1",BH503,0),2)</f>
        <v>0</v>
      </c>
      <c r="AC503" s="31">
        <f>ROUND(IF(AQ503="1",BI503,0),2)</f>
        <v>0</v>
      </c>
      <c r="AD503" s="31">
        <f>ROUND(IF(AQ503="7",BH503,0),2)</f>
        <v>0</v>
      </c>
      <c r="AE503" s="31">
        <f>ROUND(IF(AQ503="7",BI503,0),2)</f>
        <v>0</v>
      </c>
      <c r="AF503" s="31">
        <f>ROUND(IF(AQ503="2",BH503,0),2)</f>
        <v>0</v>
      </c>
      <c r="AG503" s="31">
        <f>ROUND(IF(AQ503="2",BI503,0),2)</f>
        <v>0</v>
      </c>
      <c r="AH503" s="31">
        <f>ROUND(IF(AQ503="0",BJ503,0),2)</f>
        <v>0</v>
      </c>
      <c r="AI503" s="12" t="s">
        <v>53</v>
      </c>
      <c r="AJ503" s="31">
        <f>IF(AN503=0,L503,0)</f>
        <v>0</v>
      </c>
      <c r="AK503" s="31">
        <f>IF(AN503=12,L503,0)</f>
        <v>0</v>
      </c>
      <c r="AL503" s="31">
        <f>IF(AN503=21,L503,0)</f>
        <v>0</v>
      </c>
      <c r="AN503" s="31">
        <v>21</v>
      </c>
      <c r="AO503" s="31">
        <f>H503*0</f>
        <v>0</v>
      </c>
      <c r="AP503" s="31">
        <f>H503*(1-0)</f>
        <v>0</v>
      </c>
      <c r="AQ503" s="34" t="s">
        <v>68</v>
      </c>
      <c r="AV503" s="31">
        <f>ROUND(AW503+AX503,2)</f>
        <v>0</v>
      </c>
      <c r="AW503" s="31">
        <f>ROUND(G503*AO503,2)</f>
        <v>0</v>
      </c>
      <c r="AX503" s="31">
        <f>ROUND(G503*AP503,2)</f>
        <v>0</v>
      </c>
      <c r="AY503" s="34" t="s">
        <v>540</v>
      </c>
      <c r="AZ503" s="34" t="s">
        <v>295</v>
      </c>
      <c r="BA503" s="12" t="s">
        <v>63</v>
      </c>
      <c r="BC503" s="31">
        <f>AW503+AX503</f>
        <v>0</v>
      </c>
      <c r="BD503" s="31">
        <f>H503/(100-BE503)*100</f>
        <v>0</v>
      </c>
      <c r="BE503" s="31">
        <v>0</v>
      </c>
      <c r="BF503" s="31">
        <f>O503</f>
        <v>0.16</v>
      </c>
      <c r="BH503" s="31">
        <f>G503*AO503</f>
        <v>0</v>
      </c>
      <c r="BI503" s="31">
        <f>G503*AP503</f>
        <v>0</v>
      </c>
      <c r="BJ503" s="31">
        <f>G503*H503</f>
        <v>0</v>
      </c>
      <c r="BK503" s="34" t="s">
        <v>64</v>
      </c>
      <c r="BL503" s="31"/>
      <c r="BW503" s="31">
        <f>I503</f>
        <v>21</v>
      </c>
      <c r="BX503" s="4" t="s">
        <v>549</v>
      </c>
    </row>
    <row r="504" spans="1:76" x14ac:dyDescent="0.25">
      <c r="A504" s="46"/>
      <c r="B504" s="47"/>
      <c r="C504" s="47"/>
      <c r="D504" s="294" t="s">
        <v>828</v>
      </c>
      <c r="E504" s="295" t="s">
        <v>53</v>
      </c>
      <c r="F504" s="47"/>
      <c r="G504" s="296">
        <v>8</v>
      </c>
      <c r="H504" s="47"/>
      <c r="I504" s="47"/>
      <c r="J504" s="47"/>
      <c r="K504" s="47"/>
      <c r="L504" s="47"/>
      <c r="M504" s="47"/>
      <c r="N504" s="47"/>
      <c r="O504" s="47"/>
      <c r="P504" s="48"/>
      <c r="BX504" t="s">
        <v>828</v>
      </c>
    </row>
    <row r="505" spans="1:76" x14ac:dyDescent="0.25">
      <c r="J505" s="369" t="s">
        <v>550</v>
      </c>
      <c r="K505" s="369"/>
      <c r="L505" s="49">
        <f>ROUND(L12+L23+L26+L34+L38+L41+L46+L48+L57+L60+L64+L73+L78+L83+L86+L92+L135+L139+L143+L151+L155+L179+L198+L201+L207+L214+L220+L233+L254+L256+L299+L301+L433+L490,2)</f>
        <v>0</v>
      </c>
      <c r="M505" s="49">
        <f>ROUND(M12+M23+M26+M34+M38+M41+M46+M48+M57+M60+M64+M73+M78+M83+M86+M92+M135+M139+M143+M151+M155+M179+M198+M201+M207+M214+M220+M233+M254+M256+M299+M301+M433+M490,2)</f>
        <v>0</v>
      </c>
    </row>
    <row r="506" spans="1:76" x14ac:dyDescent="0.25">
      <c r="A506" s="50" t="s">
        <v>551</v>
      </c>
    </row>
    <row r="507" spans="1:76" ht="12.75" customHeight="1" x14ac:dyDescent="0.25">
      <c r="A507" s="310" t="s">
        <v>53</v>
      </c>
      <c r="B507" s="307"/>
      <c r="C507" s="307"/>
      <c r="D507" s="307"/>
      <c r="E507" s="307"/>
      <c r="F507" s="307"/>
      <c r="G507" s="307"/>
      <c r="H507" s="307"/>
      <c r="I507" s="307"/>
      <c r="J507" s="307"/>
      <c r="K507" s="307"/>
      <c r="L507" s="307"/>
      <c r="M507" s="307"/>
      <c r="N507" s="307"/>
      <c r="O507" s="307"/>
      <c r="P507" s="307"/>
    </row>
  </sheetData>
  <mergeCells count="253">
    <mergeCell ref="D473:E473"/>
    <mergeCell ref="D501:E501"/>
    <mergeCell ref="D503:E503"/>
    <mergeCell ref="J505:K505"/>
    <mergeCell ref="A507:P507"/>
    <mergeCell ref="D490:E490"/>
    <mergeCell ref="D491:E491"/>
    <mergeCell ref="D493:E493"/>
    <mergeCell ref="D496:E496"/>
    <mergeCell ref="D498:E498"/>
    <mergeCell ref="D484:E484"/>
    <mergeCell ref="D485:E485"/>
    <mergeCell ref="D487:E487"/>
    <mergeCell ref="D488:E488"/>
    <mergeCell ref="D489:E489"/>
    <mergeCell ref="D475:E475"/>
    <mergeCell ref="D477:E477"/>
    <mergeCell ref="D479:E479"/>
    <mergeCell ref="D481:E481"/>
    <mergeCell ref="D483:E483"/>
    <mergeCell ref="D459:E459"/>
    <mergeCell ref="D461:E461"/>
    <mergeCell ref="D465:E465"/>
    <mergeCell ref="D469:E469"/>
    <mergeCell ref="D471:E471"/>
    <mergeCell ref="D434:E434"/>
    <mergeCell ref="D436:E436"/>
    <mergeCell ref="D438:E438"/>
    <mergeCell ref="D440:E440"/>
    <mergeCell ref="D445:E445"/>
    <mergeCell ref="D463:E463"/>
    <mergeCell ref="D467:E467"/>
    <mergeCell ref="D442:E442"/>
    <mergeCell ref="D444:E444"/>
    <mergeCell ref="D427:E427"/>
    <mergeCell ref="D429:E429"/>
    <mergeCell ref="D431:E431"/>
    <mergeCell ref="D432:E432"/>
    <mergeCell ref="D433:E433"/>
    <mergeCell ref="D417:E417"/>
    <mergeCell ref="D419:E419"/>
    <mergeCell ref="D421:E421"/>
    <mergeCell ref="D423:E423"/>
    <mergeCell ref="D425:E425"/>
    <mergeCell ref="D397:E397"/>
    <mergeCell ref="D409:E409"/>
    <mergeCell ref="D411:E411"/>
    <mergeCell ref="D413:E413"/>
    <mergeCell ref="D415:E415"/>
    <mergeCell ref="D387:E387"/>
    <mergeCell ref="D389:E389"/>
    <mergeCell ref="D391:E391"/>
    <mergeCell ref="D393:E393"/>
    <mergeCell ref="D394:E394"/>
    <mergeCell ref="D369:E369"/>
    <mergeCell ref="D370:E370"/>
    <mergeCell ref="D371:E371"/>
    <mergeCell ref="D373:E373"/>
    <mergeCell ref="D378:E378"/>
    <mergeCell ref="D357:E357"/>
    <mergeCell ref="D361:E361"/>
    <mergeCell ref="D363:E363"/>
    <mergeCell ref="D365:E365"/>
    <mergeCell ref="D368:E368"/>
    <mergeCell ref="D343:E343"/>
    <mergeCell ref="D349:E349"/>
    <mergeCell ref="D351:E351"/>
    <mergeCell ref="D353:E353"/>
    <mergeCell ref="D355:E355"/>
    <mergeCell ref="D334:E334"/>
    <mergeCell ref="D336:E336"/>
    <mergeCell ref="D338:E338"/>
    <mergeCell ref="D339:E339"/>
    <mergeCell ref="D342:E342"/>
    <mergeCell ref="D323:E323"/>
    <mergeCell ref="D325:E325"/>
    <mergeCell ref="D327:E327"/>
    <mergeCell ref="D330:E330"/>
    <mergeCell ref="D332:E332"/>
    <mergeCell ref="D316:E316"/>
    <mergeCell ref="D318:E318"/>
    <mergeCell ref="D320:E320"/>
    <mergeCell ref="D322:E322"/>
    <mergeCell ref="D306:E306"/>
    <mergeCell ref="D308:E308"/>
    <mergeCell ref="D310:E310"/>
    <mergeCell ref="D312:E312"/>
    <mergeCell ref="D314:E314"/>
    <mergeCell ref="D298:E298"/>
    <mergeCell ref="D299:E299"/>
    <mergeCell ref="D300:E300"/>
    <mergeCell ref="D301:E301"/>
    <mergeCell ref="D304:E304"/>
    <mergeCell ref="D302:E302"/>
    <mergeCell ref="D303:E303"/>
    <mergeCell ref="D274:E274"/>
    <mergeCell ref="D283:E283"/>
    <mergeCell ref="D292:E292"/>
    <mergeCell ref="D294:E294"/>
    <mergeCell ref="D296:E296"/>
    <mergeCell ref="D254:E254"/>
    <mergeCell ref="D255:E255"/>
    <mergeCell ref="D256:E256"/>
    <mergeCell ref="D257:E257"/>
    <mergeCell ref="D266:E266"/>
    <mergeCell ref="D244:E244"/>
    <mergeCell ref="D248:E248"/>
    <mergeCell ref="D250:E250"/>
    <mergeCell ref="D252:E252"/>
    <mergeCell ref="D231:E231"/>
    <mergeCell ref="D233:E233"/>
    <mergeCell ref="D234:E234"/>
    <mergeCell ref="D240:E240"/>
    <mergeCell ref="D242:E242"/>
    <mergeCell ref="D236:E236"/>
    <mergeCell ref="D221:E221"/>
    <mergeCell ref="D223:E223"/>
    <mergeCell ref="D225:E225"/>
    <mergeCell ref="D227:E227"/>
    <mergeCell ref="D229:E229"/>
    <mergeCell ref="D212:E212"/>
    <mergeCell ref="D214:E214"/>
    <mergeCell ref="D215:E215"/>
    <mergeCell ref="D217:E217"/>
    <mergeCell ref="D220:E220"/>
    <mergeCell ref="D202:E202"/>
    <mergeCell ref="D205:E205"/>
    <mergeCell ref="D206:E206"/>
    <mergeCell ref="D207:E207"/>
    <mergeCell ref="D208:E208"/>
    <mergeCell ref="D188:E188"/>
    <mergeCell ref="D193:E193"/>
    <mergeCell ref="D198:E198"/>
    <mergeCell ref="D199:E199"/>
    <mergeCell ref="D201:E201"/>
    <mergeCell ref="D178:E178"/>
    <mergeCell ref="D179:E179"/>
    <mergeCell ref="D180:E180"/>
    <mergeCell ref="D160:E160"/>
    <mergeCell ref="D162:E162"/>
    <mergeCell ref="D164:E164"/>
    <mergeCell ref="D166:E166"/>
    <mergeCell ref="D174:E174"/>
    <mergeCell ref="D172:E172"/>
    <mergeCell ref="D176:E176"/>
    <mergeCell ref="D152:E152"/>
    <mergeCell ref="D154:E154"/>
    <mergeCell ref="D155:E155"/>
    <mergeCell ref="D156:E156"/>
    <mergeCell ref="D158:E158"/>
    <mergeCell ref="D143:E143"/>
    <mergeCell ref="D144:E144"/>
    <mergeCell ref="D146:E146"/>
    <mergeCell ref="D150:E150"/>
    <mergeCell ref="D151:E151"/>
    <mergeCell ref="D148:E148"/>
    <mergeCell ref="D135:E135"/>
    <mergeCell ref="D136:E136"/>
    <mergeCell ref="D139:E139"/>
    <mergeCell ref="D140:E140"/>
    <mergeCell ref="D142:E142"/>
    <mergeCell ref="D124:E124"/>
    <mergeCell ref="D126:E126"/>
    <mergeCell ref="D129:E129"/>
    <mergeCell ref="D130:E130"/>
    <mergeCell ref="D134:E134"/>
    <mergeCell ref="D137:E137"/>
    <mergeCell ref="D138:E138"/>
    <mergeCell ref="D112:E112"/>
    <mergeCell ref="D115:E115"/>
    <mergeCell ref="D117:E117"/>
    <mergeCell ref="D119:E119"/>
    <mergeCell ref="D122:E122"/>
    <mergeCell ref="D91:E91"/>
    <mergeCell ref="D92:E92"/>
    <mergeCell ref="D93:E93"/>
    <mergeCell ref="D97:E97"/>
    <mergeCell ref="D103:E103"/>
    <mergeCell ref="D83:E83"/>
    <mergeCell ref="D84:E84"/>
    <mergeCell ref="D86:E86"/>
    <mergeCell ref="D87:E87"/>
    <mergeCell ref="D89:E89"/>
    <mergeCell ref="D69:E69"/>
    <mergeCell ref="D73:E73"/>
    <mergeCell ref="D74:E74"/>
    <mergeCell ref="D78:E78"/>
    <mergeCell ref="D79:E79"/>
    <mergeCell ref="H2:H3"/>
    <mergeCell ref="H4:H5"/>
    <mergeCell ref="H6:H7"/>
    <mergeCell ref="D39:E39"/>
    <mergeCell ref="D40:E40"/>
    <mergeCell ref="D10:E10"/>
    <mergeCell ref="D41:E41"/>
    <mergeCell ref="D42:E42"/>
    <mergeCell ref="D46:E46"/>
    <mergeCell ref="D31:E31"/>
    <mergeCell ref="D34:E34"/>
    <mergeCell ref="D35:E35"/>
    <mergeCell ref="D36:E36"/>
    <mergeCell ref="D38:E38"/>
    <mergeCell ref="D17:E17"/>
    <mergeCell ref="D44:E44"/>
    <mergeCell ref="D45:E45"/>
    <mergeCell ref="J10:L10"/>
    <mergeCell ref="N10:O10"/>
    <mergeCell ref="D12:E12"/>
    <mergeCell ref="D13:E13"/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P3"/>
    <mergeCell ref="J4:P5"/>
    <mergeCell ref="J6:P7"/>
    <mergeCell ref="J8:P9"/>
    <mergeCell ref="D380:E380"/>
    <mergeCell ref="D381:E381"/>
    <mergeCell ref="D383:E383"/>
    <mergeCell ref="D385:E385"/>
    <mergeCell ref="H8:H9"/>
    <mergeCell ref="D19:E19"/>
    <mergeCell ref="D23:E23"/>
    <mergeCell ref="D24:E24"/>
    <mergeCell ref="D26:E26"/>
    <mergeCell ref="D27:E27"/>
    <mergeCell ref="D11:E11"/>
    <mergeCell ref="D8:E9"/>
    <mergeCell ref="D55:E55"/>
    <mergeCell ref="D60:E60"/>
    <mergeCell ref="D61:E61"/>
    <mergeCell ref="D64:E64"/>
    <mergeCell ref="D65:E65"/>
    <mergeCell ref="D47:E47"/>
    <mergeCell ref="D48:E48"/>
    <mergeCell ref="D49:E49"/>
    <mergeCell ref="D51:E51"/>
    <mergeCell ref="D53:E53"/>
    <mergeCell ref="D57:E57"/>
    <mergeCell ref="D58:E58"/>
  </mergeCells>
  <printOptions horizontalCentered="1" gridLines="1"/>
  <pageMargins left="0.39370078740157483" right="0.39370078740157483" top="0.59055118110236227" bottom="0.59055118110236227" header="0" footer="0"/>
  <pageSetup scale="52" fitToHeight="0" orientation="landscape" r:id="rId1"/>
  <headerFooter>
    <oddHeader>&amp;R
KV-2225-G1-2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1"/>
  <sheetViews>
    <sheetView workbookViewId="0">
      <selection activeCell="J66" sqref="J6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302" t="s">
        <v>599</v>
      </c>
      <c r="B1" s="303"/>
      <c r="C1" s="303"/>
      <c r="D1" s="303"/>
      <c r="E1" s="303"/>
      <c r="F1" s="303"/>
      <c r="G1" s="303"/>
      <c r="H1" s="303"/>
      <c r="I1" s="303"/>
    </row>
    <row r="2" spans="1:9" x14ac:dyDescent="0.25">
      <c r="A2" s="304" t="s">
        <v>0</v>
      </c>
      <c r="B2" s="305"/>
      <c r="C2" s="314" t="str">
        <f>'Stavební rozpočet'!D2</f>
        <v>Karlovy Vary, Výměna gravitačního řádu termominerální vody</v>
      </c>
      <c r="D2" s="315"/>
      <c r="E2" s="309" t="s">
        <v>4</v>
      </c>
      <c r="F2" s="309" t="str">
        <f>'Stavební rozpočet'!J2</f>
        <v>SPLZaK, Lázeňská 2, 36001 Karlovy Vary</v>
      </c>
      <c r="G2" s="305"/>
      <c r="H2" s="309" t="s">
        <v>554</v>
      </c>
      <c r="I2" s="311" t="s">
        <v>53</v>
      </c>
    </row>
    <row r="3" spans="1:9" ht="15" customHeight="1" x14ac:dyDescent="0.25">
      <c r="A3" s="306"/>
      <c r="B3" s="307"/>
      <c r="C3" s="316"/>
      <c r="D3" s="316"/>
      <c r="E3" s="307"/>
      <c r="F3" s="307"/>
      <c r="G3" s="307"/>
      <c r="H3" s="307"/>
      <c r="I3" s="312"/>
    </row>
    <row r="4" spans="1:9" x14ac:dyDescent="0.25">
      <c r="A4" s="308" t="s">
        <v>6</v>
      </c>
      <c r="B4" s="307"/>
      <c r="C4" s="310" t="str">
        <f>'Stavební rozpočet'!D4</f>
        <v>RT-2516-2</v>
      </c>
      <c r="D4" s="307"/>
      <c r="E4" s="310" t="s">
        <v>10</v>
      </c>
      <c r="F4" s="310" t="str">
        <f>'Stavební rozpočet'!J4</f>
        <v>ALFA-projekt, s.r.o., K Panelárně 172, 352 32 Otovice</v>
      </c>
      <c r="G4" s="307"/>
      <c r="H4" s="310" t="s">
        <v>554</v>
      </c>
      <c r="I4" s="312" t="s">
        <v>53</v>
      </c>
    </row>
    <row r="5" spans="1:9" ht="15" customHeight="1" x14ac:dyDescent="0.25">
      <c r="A5" s="306"/>
      <c r="B5" s="307"/>
      <c r="C5" s="307"/>
      <c r="D5" s="307"/>
      <c r="E5" s="307"/>
      <c r="F5" s="307"/>
      <c r="G5" s="307"/>
      <c r="H5" s="307"/>
      <c r="I5" s="312"/>
    </row>
    <row r="6" spans="1:9" x14ac:dyDescent="0.25">
      <c r="A6" s="308" t="s">
        <v>11</v>
      </c>
      <c r="B6" s="307"/>
      <c r="C6" s="310" t="str">
        <f>'Stavební rozpočet'!D6</f>
        <v>K. Vary - Výměna gravitačního řadu termominerální vody</v>
      </c>
      <c r="D6" s="307"/>
      <c r="E6" s="310" t="s">
        <v>13</v>
      </c>
      <c r="F6" s="310" t="str">
        <f>'Stavební rozpočet'!J6</f>
        <v> </v>
      </c>
      <c r="G6" s="307"/>
      <c r="H6" s="310" t="s">
        <v>554</v>
      </c>
      <c r="I6" s="312" t="s">
        <v>53</v>
      </c>
    </row>
    <row r="7" spans="1:9" ht="15" customHeight="1" x14ac:dyDescent="0.25">
      <c r="A7" s="306"/>
      <c r="B7" s="307"/>
      <c r="C7" s="307"/>
      <c r="D7" s="307"/>
      <c r="E7" s="307"/>
      <c r="F7" s="307"/>
      <c r="G7" s="307"/>
      <c r="H7" s="307"/>
      <c r="I7" s="312"/>
    </row>
    <row r="8" spans="1:9" x14ac:dyDescent="0.25">
      <c r="A8" s="308" t="s">
        <v>8</v>
      </c>
      <c r="B8" s="307"/>
      <c r="C8" s="310" t="str">
        <f>'Stavební rozpočet'!H4</f>
        <v>26.07.2025</v>
      </c>
      <c r="D8" s="307"/>
      <c r="E8" s="310" t="s">
        <v>12</v>
      </c>
      <c r="F8" s="310" t="str">
        <f>'Stavební rozpočet'!H6</f>
        <v xml:space="preserve"> </v>
      </c>
      <c r="G8" s="307"/>
      <c r="H8" s="307" t="s">
        <v>555</v>
      </c>
      <c r="I8" s="313">
        <f>'Krycí list rozpočtu'!I8:I9</f>
        <v>186</v>
      </c>
    </row>
    <row r="9" spans="1:9" x14ac:dyDescent="0.25">
      <c r="A9" s="306"/>
      <c r="B9" s="307"/>
      <c r="C9" s="307"/>
      <c r="D9" s="307"/>
      <c r="E9" s="307"/>
      <c r="F9" s="307"/>
      <c r="G9" s="307"/>
      <c r="H9" s="307"/>
      <c r="I9" s="312"/>
    </row>
    <row r="10" spans="1:9" x14ac:dyDescent="0.25">
      <c r="A10" s="308" t="s">
        <v>15</v>
      </c>
      <c r="B10" s="307"/>
      <c r="C10" s="310" t="str">
        <f>'Stavební rozpočet'!D8</f>
        <v>827</v>
      </c>
      <c r="D10" s="307"/>
      <c r="E10" s="310" t="s">
        <v>18</v>
      </c>
      <c r="F10" s="310" t="str">
        <f>'Stavební rozpočet'!J8</f>
        <v>ALFA-projekt, s.r.o., K Panelárně 172, 352 32 Otovice</v>
      </c>
      <c r="G10" s="307"/>
      <c r="H10" s="307" t="s">
        <v>556</v>
      </c>
      <c r="I10" s="318">
        <f>'Stavební rozpočet'!H8</f>
        <v>45965</v>
      </c>
    </row>
    <row r="11" spans="1:9" x14ac:dyDescent="0.25">
      <c r="A11" s="323"/>
      <c r="B11" s="317"/>
      <c r="C11" s="317"/>
      <c r="D11" s="317"/>
      <c r="E11" s="317"/>
      <c r="F11" s="317"/>
      <c r="G11" s="317"/>
      <c r="H11" s="317"/>
      <c r="I11" s="319"/>
    </row>
    <row r="13" spans="1:9" ht="15.75" x14ac:dyDescent="0.25">
      <c r="A13" s="391" t="s">
        <v>600</v>
      </c>
      <c r="B13" s="391"/>
      <c r="C13" s="391"/>
      <c r="D13" s="391"/>
      <c r="E13" s="391"/>
    </row>
    <row r="14" spans="1:9" x14ac:dyDescent="0.25">
      <c r="A14" s="392" t="s">
        <v>601</v>
      </c>
      <c r="B14" s="393"/>
      <c r="C14" s="393"/>
      <c r="D14" s="393"/>
      <c r="E14" s="394"/>
      <c r="F14" s="79" t="s">
        <v>602</v>
      </c>
      <c r="G14" s="79" t="s">
        <v>185</v>
      </c>
      <c r="H14" s="79" t="s">
        <v>603</v>
      </c>
      <c r="I14" s="79" t="s">
        <v>602</v>
      </c>
    </row>
    <row r="15" spans="1:9" x14ac:dyDescent="0.25">
      <c r="A15" s="395" t="s">
        <v>566</v>
      </c>
      <c r="B15" s="396"/>
      <c r="C15" s="396"/>
      <c r="D15" s="396"/>
      <c r="E15" s="397"/>
      <c r="F15" s="80">
        <v>0</v>
      </c>
      <c r="G15" s="81" t="s">
        <v>53</v>
      </c>
      <c r="H15" s="81" t="s">
        <v>53</v>
      </c>
      <c r="I15" s="80">
        <f t="shared" ref="I15:I21" si="0">F15</f>
        <v>0</v>
      </c>
    </row>
    <row r="16" spans="1:9" x14ac:dyDescent="0.25">
      <c r="A16" s="395" t="s">
        <v>568</v>
      </c>
      <c r="B16" s="396"/>
      <c r="C16" s="396"/>
      <c r="D16" s="396"/>
      <c r="E16" s="397"/>
      <c r="F16" s="80">
        <v>0</v>
      </c>
      <c r="G16" s="81" t="s">
        <v>53</v>
      </c>
      <c r="H16" s="81" t="s">
        <v>53</v>
      </c>
      <c r="I16" s="80">
        <f t="shared" si="0"/>
        <v>0</v>
      </c>
    </row>
    <row r="17" spans="1:9" x14ac:dyDescent="0.25">
      <c r="A17" s="395" t="s">
        <v>571</v>
      </c>
      <c r="B17" s="396"/>
      <c r="C17" s="396"/>
      <c r="D17" s="396"/>
      <c r="E17" s="397"/>
      <c r="F17" s="80">
        <v>0</v>
      </c>
      <c r="G17" s="81" t="s">
        <v>53</v>
      </c>
      <c r="H17" s="81" t="s">
        <v>53</v>
      </c>
      <c r="I17" s="80">
        <f t="shared" si="0"/>
        <v>0</v>
      </c>
    </row>
    <row r="18" spans="1:9" x14ac:dyDescent="0.25">
      <c r="A18" s="395" t="s">
        <v>573</v>
      </c>
      <c r="B18" s="396"/>
      <c r="C18" s="396"/>
      <c r="D18" s="396"/>
      <c r="E18" s="397"/>
      <c r="F18" s="80">
        <v>0</v>
      </c>
      <c r="G18" s="81" t="s">
        <v>53</v>
      </c>
      <c r="H18" s="81" t="s">
        <v>53</v>
      </c>
      <c r="I18" s="80">
        <f t="shared" si="0"/>
        <v>0</v>
      </c>
    </row>
    <row r="19" spans="1:9" x14ac:dyDescent="0.25">
      <c r="A19" s="395" t="s">
        <v>576</v>
      </c>
      <c r="B19" s="396"/>
      <c r="C19" s="396"/>
      <c r="D19" s="396"/>
      <c r="E19" s="397"/>
      <c r="F19" s="80">
        <v>0</v>
      </c>
      <c r="G19" s="81" t="s">
        <v>53</v>
      </c>
      <c r="H19" s="81" t="s">
        <v>53</v>
      </c>
      <c r="I19" s="80">
        <f t="shared" si="0"/>
        <v>0</v>
      </c>
    </row>
    <row r="20" spans="1:9" x14ac:dyDescent="0.25">
      <c r="A20" s="395"/>
      <c r="B20" s="396"/>
      <c r="C20" s="396"/>
      <c r="D20" s="396"/>
      <c r="E20" s="397"/>
      <c r="F20" s="80"/>
      <c r="G20" s="81" t="s">
        <v>53</v>
      </c>
      <c r="H20" s="81" t="s">
        <v>53</v>
      </c>
      <c r="I20" s="80">
        <f t="shared" si="0"/>
        <v>0</v>
      </c>
    </row>
    <row r="21" spans="1:9" x14ac:dyDescent="0.25">
      <c r="A21" s="395"/>
      <c r="B21" s="396"/>
      <c r="C21" s="396"/>
      <c r="D21" s="396"/>
      <c r="E21" s="397"/>
      <c r="F21" s="80"/>
      <c r="G21" s="81" t="s">
        <v>53</v>
      </c>
      <c r="H21" s="81" t="s">
        <v>53</v>
      </c>
      <c r="I21" s="80">
        <f t="shared" si="0"/>
        <v>0</v>
      </c>
    </row>
    <row r="22" spans="1:9" x14ac:dyDescent="0.25">
      <c r="A22" s="398"/>
      <c r="B22" s="374"/>
      <c r="C22" s="374"/>
      <c r="D22" s="374"/>
      <c r="E22" s="399"/>
      <c r="F22" s="82"/>
      <c r="G22" s="83"/>
      <c r="H22" s="83"/>
      <c r="I22" s="82"/>
    </row>
    <row r="23" spans="1:9" x14ac:dyDescent="0.25">
      <c r="A23" s="400" t="s">
        <v>604</v>
      </c>
      <c r="B23" s="401"/>
      <c r="C23" s="401"/>
      <c r="D23" s="401"/>
      <c r="E23" s="402"/>
      <c r="F23" s="84" t="s">
        <v>53</v>
      </c>
      <c r="G23" s="85" t="s">
        <v>53</v>
      </c>
      <c r="H23" s="85" t="s">
        <v>53</v>
      </c>
      <c r="I23" s="86">
        <f>SUM(I15:I22)</f>
        <v>0</v>
      </c>
    </row>
    <row r="25" spans="1:9" x14ac:dyDescent="0.25">
      <c r="A25" s="392" t="s">
        <v>563</v>
      </c>
      <c r="B25" s="393"/>
      <c r="C25" s="393"/>
      <c r="D25" s="393"/>
      <c r="E25" s="394"/>
      <c r="F25" s="79" t="s">
        <v>602</v>
      </c>
      <c r="G25" s="79" t="s">
        <v>185</v>
      </c>
      <c r="H25" s="79" t="s">
        <v>603</v>
      </c>
      <c r="I25" s="79" t="s">
        <v>602</v>
      </c>
    </row>
    <row r="26" spans="1:9" x14ac:dyDescent="0.25">
      <c r="A26" s="395" t="s">
        <v>567</v>
      </c>
      <c r="B26" s="396"/>
      <c r="C26" s="396"/>
      <c r="D26" s="396"/>
      <c r="E26" s="397"/>
      <c r="F26" s="81" t="s">
        <v>53</v>
      </c>
      <c r="G26" s="80">
        <v>3.5</v>
      </c>
      <c r="H26" s="80">
        <f>'Krycí list rozpočtu'!C22</f>
        <v>0</v>
      </c>
      <c r="I26" s="80">
        <f>ROUND((G26/100)*H26,2)</f>
        <v>0</v>
      </c>
    </row>
    <row r="27" spans="1:9" x14ac:dyDescent="0.25">
      <c r="A27" s="395" t="s">
        <v>569</v>
      </c>
      <c r="B27" s="396"/>
      <c r="C27" s="396"/>
      <c r="D27" s="396"/>
      <c r="E27" s="397"/>
      <c r="F27" s="80">
        <v>0</v>
      </c>
      <c r="G27" s="81" t="s">
        <v>53</v>
      </c>
      <c r="H27" s="81" t="s">
        <v>53</v>
      </c>
      <c r="I27" s="80">
        <f>F27</f>
        <v>0</v>
      </c>
    </row>
    <row r="28" spans="1:9" x14ac:dyDescent="0.25">
      <c r="A28" s="395" t="s">
        <v>572</v>
      </c>
      <c r="B28" s="396"/>
      <c r="C28" s="396"/>
      <c r="D28" s="396"/>
      <c r="E28" s="397"/>
      <c r="F28" s="80">
        <v>0</v>
      </c>
      <c r="G28" s="81" t="s">
        <v>53</v>
      </c>
      <c r="H28" s="81" t="s">
        <v>53</v>
      </c>
      <c r="I28" s="80">
        <f>F28</f>
        <v>0</v>
      </c>
    </row>
    <row r="29" spans="1:9" x14ac:dyDescent="0.25">
      <c r="A29" s="395" t="s">
        <v>574</v>
      </c>
      <c r="B29" s="396"/>
      <c r="C29" s="396"/>
      <c r="D29" s="396"/>
      <c r="E29" s="397"/>
      <c r="F29" s="80">
        <v>0</v>
      </c>
      <c r="G29" s="81" t="s">
        <v>53</v>
      </c>
      <c r="H29" s="81" t="s">
        <v>53</v>
      </c>
      <c r="I29" s="80">
        <f>F29</f>
        <v>0</v>
      </c>
    </row>
    <row r="30" spans="1:9" x14ac:dyDescent="0.25">
      <c r="A30" s="395" t="s">
        <v>577</v>
      </c>
      <c r="B30" s="396"/>
      <c r="C30" s="396"/>
      <c r="D30" s="396"/>
      <c r="E30" s="397"/>
      <c r="F30" s="80">
        <v>0</v>
      </c>
      <c r="G30" s="81" t="s">
        <v>53</v>
      </c>
      <c r="H30" s="81" t="s">
        <v>53</v>
      </c>
      <c r="I30" s="80">
        <f>F30</f>
        <v>0</v>
      </c>
    </row>
    <row r="31" spans="1:9" x14ac:dyDescent="0.25">
      <c r="A31" s="398" t="s">
        <v>578</v>
      </c>
      <c r="B31" s="374"/>
      <c r="C31" s="374"/>
      <c r="D31" s="374"/>
      <c r="E31" s="399"/>
      <c r="F31" s="82">
        <v>0</v>
      </c>
      <c r="G31" s="83" t="s">
        <v>53</v>
      </c>
      <c r="H31" s="83" t="s">
        <v>53</v>
      </c>
      <c r="I31" s="82">
        <f>F31</f>
        <v>0</v>
      </c>
    </row>
    <row r="32" spans="1:9" x14ac:dyDescent="0.25">
      <c r="A32" s="400" t="s">
        <v>605</v>
      </c>
      <c r="B32" s="401"/>
      <c r="C32" s="401"/>
      <c r="D32" s="401"/>
      <c r="E32" s="402"/>
      <c r="F32" s="84" t="s">
        <v>53</v>
      </c>
      <c r="G32" s="85" t="s">
        <v>53</v>
      </c>
      <c r="H32" s="85" t="s">
        <v>53</v>
      </c>
      <c r="I32" s="86">
        <f>SUM(I26:I31)</f>
        <v>0</v>
      </c>
    </row>
    <row r="34" spans="1:9" ht="15.75" x14ac:dyDescent="0.25">
      <c r="A34" s="403" t="s">
        <v>606</v>
      </c>
      <c r="B34" s="404"/>
      <c r="C34" s="404"/>
      <c r="D34" s="404"/>
      <c r="E34" s="405"/>
      <c r="F34" s="406">
        <f>I23+I32</f>
        <v>0</v>
      </c>
      <c r="G34" s="407"/>
      <c r="H34" s="407"/>
      <c r="I34" s="408"/>
    </row>
    <row r="38" spans="1:9" ht="15.75" x14ac:dyDescent="0.25">
      <c r="A38" s="391" t="s">
        <v>607</v>
      </c>
      <c r="B38" s="391"/>
      <c r="C38" s="391"/>
      <c r="D38" s="391"/>
      <c r="E38" s="391"/>
    </row>
    <row r="39" spans="1:9" x14ac:dyDescent="0.25">
      <c r="A39" s="392" t="s">
        <v>608</v>
      </c>
      <c r="B39" s="393"/>
      <c r="C39" s="393"/>
      <c r="D39" s="393"/>
      <c r="E39" s="394"/>
      <c r="F39" s="79" t="s">
        <v>602</v>
      </c>
      <c r="G39" s="79" t="s">
        <v>185</v>
      </c>
      <c r="H39" s="79" t="s">
        <v>603</v>
      </c>
      <c r="I39" s="79" t="s">
        <v>602</v>
      </c>
    </row>
    <row r="40" spans="1:9" x14ac:dyDescent="0.25">
      <c r="A40" s="398" t="s">
        <v>53</v>
      </c>
      <c r="B40" s="374"/>
      <c r="C40" s="374"/>
      <c r="D40" s="374"/>
      <c r="E40" s="399"/>
      <c r="F40" s="82">
        <v>0</v>
      </c>
      <c r="G40" s="83" t="s">
        <v>53</v>
      </c>
      <c r="H40" s="83" t="s">
        <v>53</v>
      </c>
      <c r="I40" s="82">
        <f>F40</f>
        <v>0</v>
      </c>
    </row>
    <row r="41" spans="1:9" x14ac:dyDescent="0.25">
      <c r="A41" s="400" t="s">
        <v>609</v>
      </c>
      <c r="B41" s="401"/>
      <c r="C41" s="401"/>
      <c r="D41" s="401"/>
      <c r="E41" s="402"/>
      <c r="F41" s="84" t="s">
        <v>53</v>
      </c>
      <c r="G41" s="85" t="s">
        <v>53</v>
      </c>
      <c r="H41" s="85" t="s">
        <v>53</v>
      </c>
      <c r="I41" s="86">
        <f>SUM(I40:I40)</f>
        <v>0</v>
      </c>
    </row>
  </sheetData>
  <mergeCells count="56">
    <mergeCell ref="A41:E41"/>
    <mergeCell ref="A34:E34"/>
    <mergeCell ref="F34:I34"/>
    <mergeCell ref="A38:E38"/>
    <mergeCell ref="A39:E39"/>
    <mergeCell ref="A40:E40"/>
    <mergeCell ref="A28:E28"/>
    <mergeCell ref="A29:E29"/>
    <mergeCell ref="A30:E30"/>
    <mergeCell ref="A31:E31"/>
    <mergeCell ref="A32:E32"/>
    <mergeCell ref="A22:E22"/>
    <mergeCell ref="A23:E23"/>
    <mergeCell ref="A25:E25"/>
    <mergeCell ref="A26:E26"/>
    <mergeCell ref="A27:E27"/>
    <mergeCell ref="A17:E17"/>
    <mergeCell ref="A18:E18"/>
    <mergeCell ref="A19:E19"/>
    <mergeCell ref="A20:E20"/>
    <mergeCell ref="A21:E21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rintOptions horizontalCentered="1"/>
  <pageMargins left="0.59055118110236227" right="0.59055118110236227" top="0.59055118110236227" bottom="0.59055118110236227" header="0" footer="0.39370078740157483"/>
  <pageSetup scale="81" orientation="landscape" r:id="rId1"/>
  <headerFooter>
    <oddHeader>&amp;R
KV-2225-G1-2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84"/>
  <sheetViews>
    <sheetView showGridLines="0" topLeftCell="A13" zoomScale="90" zoomScaleNormal="90" workbookViewId="0">
      <selection activeCell="J66" sqref="J66"/>
    </sheetView>
  </sheetViews>
  <sheetFormatPr defaultRowHeight="12.75" x14ac:dyDescent="0.25"/>
  <cols>
    <col min="1" max="1" width="9.42578125" style="139" customWidth="1"/>
    <col min="2" max="2" width="77.7109375" style="139" customWidth="1"/>
    <col min="3" max="3" width="7.85546875" style="172" customWidth="1"/>
    <col min="4" max="4" width="20.42578125" style="151" customWidth="1"/>
    <col min="5" max="5" width="9.140625" style="139"/>
    <col min="6" max="6" width="13.140625" style="139" customWidth="1"/>
    <col min="7" max="8" width="9.140625" style="139"/>
    <col min="9" max="9" width="16.28515625" style="139" customWidth="1"/>
    <col min="10" max="256" width="9.140625" style="139"/>
    <col min="257" max="257" width="9.42578125" style="139" customWidth="1"/>
    <col min="258" max="258" width="77.7109375" style="139" customWidth="1"/>
    <col min="259" max="259" width="7.85546875" style="139" customWidth="1"/>
    <col min="260" max="260" width="20.42578125" style="139" customWidth="1"/>
    <col min="261" max="261" width="9.140625" style="139"/>
    <col min="262" max="262" width="13.140625" style="139" customWidth="1"/>
    <col min="263" max="512" width="9.140625" style="139"/>
    <col min="513" max="513" width="9.42578125" style="139" customWidth="1"/>
    <col min="514" max="514" width="77.7109375" style="139" customWidth="1"/>
    <col min="515" max="515" width="7.85546875" style="139" customWidth="1"/>
    <col min="516" max="516" width="20.42578125" style="139" customWidth="1"/>
    <col min="517" max="517" width="9.140625" style="139"/>
    <col min="518" max="518" width="13.140625" style="139" customWidth="1"/>
    <col min="519" max="768" width="9.140625" style="139"/>
    <col min="769" max="769" width="9.42578125" style="139" customWidth="1"/>
    <col min="770" max="770" width="77.7109375" style="139" customWidth="1"/>
    <col min="771" max="771" width="7.85546875" style="139" customWidth="1"/>
    <col min="772" max="772" width="20.42578125" style="139" customWidth="1"/>
    <col min="773" max="773" width="9.140625" style="139"/>
    <col min="774" max="774" width="13.140625" style="139" customWidth="1"/>
    <col min="775" max="1024" width="9.140625" style="139"/>
    <col min="1025" max="1025" width="9.42578125" style="139" customWidth="1"/>
    <col min="1026" max="1026" width="77.7109375" style="139" customWidth="1"/>
    <col min="1027" max="1027" width="7.85546875" style="139" customWidth="1"/>
    <col min="1028" max="1028" width="20.42578125" style="139" customWidth="1"/>
    <col min="1029" max="1029" width="9.140625" style="139"/>
    <col min="1030" max="1030" width="13.140625" style="139" customWidth="1"/>
    <col min="1031" max="1280" width="9.140625" style="139"/>
    <col min="1281" max="1281" width="9.42578125" style="139" customWidth="1"/>
    <col min="1282" max="1282" width="77.7109375" style="139" customWidth="1"/>
    <col min="1283" max="1283" width="7.85546875" style="139" customWidth="1"/>
    <col min="1284" max="1284" width="20.42578125" style="139" customWidth="1"/>
    <col min="1285" max="1285" width="9.140625" style="139"/>
    <col min="1286" max="1286" width="13.140625" style="139" customWidth="1"/>
    <col min="1287" max="1536" width="9.140625" style="139"/>
    <col min="1537" max="1537" width="9.42578125" style="139" customWidth="1"/>
    <col min="1538" max="1538" width="77.7109375" style="139" customWidth="1"/>
    <col min="1539" max="1539" width="7.85546875" style="139" customWidth="1"/>
    <col min="1540" max="1540" width="20.42578125" style="139" customWidth="1"/>
    <col min="1541" max="1541" width="9.140625" style="139"/>
    <col min="1542" max="1542" width="13.140625" style="139" customWidth="1"/>
    <col min="1543" max="1792" width="9.140625" style="139"/>
    <col min="1793" max="1793" width="9.42578125" style="139" customWidth="1"/>
    <col min="1794" max="1794" width="77.7109375" style="139" customWidth="1"/>
    <col min="1795" max="1795" width="7.85546875" style="139" customWidth="1"/>
    <col min="1796" max="1796" width="20.42578125" style="139" customWidth="1"/>
    <col min="1797" max="1797" width="9.140625" style="139"/>
    <col min="1798" max="1798" width="13.140625" style="139" customWidth="1"/>
    <col min="1799" max="2048" width="9.140625" style="139"/>
    <col min="2049" max="2049" width="9.42578125" style="139" customWidth="1"/>
    <col min="2050" max="2050" width="77.7109375" style="139" customWidth="1"/>
    <col min="2051" max="2051" width="7.85546875" style="139" customWidth="1"/>
    <col min="2052" max="2052" width="20.42578125" style="139" customWidth="1"/>
    <col min="2053" max="2053" width="9.140625" style="139"/>
    <col min="2054" max="2054" width="13.140625" style="139" customWidth="1"/>
    <col min="2055" max="2304" width="9.140625" style="139"/>
    <col min="2305" max="2305" width="9.42578125" style="139" customWidth="1"/>
    <col min="2306" max="2306" width="77.7109375" style="139" customWidth="1"/>
    <col min="2307" max="2307" width="7.85546875" style="139" customWidth="1"/>
    <col min="2308" max="2308" width="20.42578125" style="139" customWidth="1"/>
    <col min="2309" max="2309" width="9.140625" style="139"/>
    <col min="2310" max="2310" width="13.140625" style="139" customWidth="1"/>
    <col min="2311" max="2560" width="9.140625" style="139"/>
    <col min="2561" max="2561" width="9.42578125" style="139" customWidth="1"/>
    <col min="2562" max="2562" width="77.7109375" style="139" customWidth="1"/>
    <col min="2563" max="2563" width="7.85546875" style="139" customWidth="1"/>
    <col min="2564" max="2564" width="20.42578125" style="139" customWidth="1"/>
    <col min="2565" max="2565" width="9.140625" style="139"/>
    <col min="2566" max="2566" width="13.140625" style="139" customWidth="1"/>
    <col min="2567" max="2816" width="9.140625" style="139"/>
    <col min="2817" max="2817" width="9.42578125" style="139" customWidth="1"/>
    <col min="2818" max="2818" width="77.7109375" style="139" customWidth="1"/>
    <col min="2819" max="2819" width="7.85546875" style="139" customWidth="1"/>
    <col min="2820" max="2820" width="20.42578125" style="139" customWidth="1"/>
    <col min="2821" max="2821" width="9.140625" style="139"/>
    <col min="2822" max="2822" width="13.140625" style="139" customWidth="1"/>
    <col min="2823" max="3072" width="9.140625" style="139"/>
    <col min="3073" max="3073" width="9.42578125" style="139" customWidth="1"/>
    <col min="3074" max="3074" width="77.7109375" style="139" customWidth="1"/>
    <col min="3075" max="3075" width="7.85546875" style="139" customWidth="1"/>
    <col min="3076" max="3076" width="20.42578125" style="139" customWidth="1"/>
    <col min="3077" max="3077" width="9.140625" style="139"/>
    <col min="3078" max="3078" width="13.140625" style="139" customWidth="1"/>
    <col min="3079" max="3328" width="9.140625" style="139"/>
    <col min="3329" max="3329" width="9.42578125" style="139" customWidth="1"/>
    <col min="3330" max="3330" width="77.7109375" style="139" customWidth="1"/>
    <col min="3331" max="3331" width="7.85546875" style="139" customWidth="1"/>
    <col min="3332" max="3332" width="20.42578125" style="139" customWidth="1"/>
    <col min="3333" max="3333" width="9.140625" style="139"/>
    <col min="3334" max="3334" width="13.140625" style="139" customWidth="1"/>
    <col min="3335" max="3584" width="9.140625" style="139"/>
    <col min="3585" max="3585" width="9.42578125" style="139" customWidth="1"/>
    <col min="3586" max="3586" width="77.7109375" style="139" customWidth="1"/>
    <col min="3587" max="3587" width="7.85546875" style="139" customWidth="1"/>
    <col min="3588" max="3588" width="20.42578125" style="139" customWidth="1"/>
    <col min="3589" max="3589" width="9.140625" style="139"/>
    <col min="3590" max="3590" width="13.140625" style="139" customWidth="1"/>
    <col min="3591" max="3840" width="9.140625" style="139"/>
    <col min="3841" max="3841" width="9.42578125" style="139" customWidth="1"/>
    <col min="3842" max="3842" width="77.7109375" style="139" customWidth="1"/>
    <col min="3843" max="3843" width="7.85546875" style="139" customWidth="1"/>
    <col min="3844" max="3844" width="20.42578125" style="139" customWidth="1"/>
    <col min="3845" max="3845" width="9.140625" style="139"/>
    <col min="3846" max="3846" width="13.140625" style="139" customWidth="1"/>
    <col min="3847" max="4096" width="9.140625" style="139"/>
    <col min="4097" max="4097" width="9.42578125" style="139" customWidth="1"/>
    <col min="4098" max="4098" width="77.7109375" style="139" customWidth="1"/>
    <col min="4099" max="4099" width="7.85546875" style="139" customWidth="1"/>
    <col min="4100" max="4100" width="20.42578125" style="139" customWidth="1"/>
    <col min="4101" max="4101" width="9.140625" style="139"/>
    <col min="4102" max="4102" width="13.140625" style="139" customWidth="1"/>
    <col min="4103" max="4352" width="9.140625" style="139"/>
    <col min="4353" max="4353" width="9.42578125" style="139" customWidth="1"/>
    <col min="4354" max="4354" width="77.7109375" style="139" customWidth="1"/>
    <col min="4355" max="4355" width="7.85546875" style="139" customWidth="1"/>
    <col min="4356" max="4356" width="20.42578125" style="139" customWidth="1"/>
    <col min="4357" max="4357" width="9.140625" style="139"/>
    <col min="4358" max="4358" width="13.140625" style="139" customWidth="1"/>
    <col min="4359" max="4608" width="9.140625" style="139"/>
    <col min="4609" max="4609" width="9.42578125" style="139" customWidth="1"/>
    <col min="4610" max="4610" width="77.7109375" style="139" customWidth="1"/>
    <col min="4611" max="4611" width="7.85546875" style="139" customWidth="1"/>
    <col min="4612" max="4612" width="20.42578125" style="139" customWidth="1"/>
    <col min="4613" max="4613" width="9.140625" style="139"/>
    <col min="4614" max="4614" width="13.140625" style="139" customWidth="1"/>
    <col min="4615" max="4864" width="9.140625" style="139"/>
    <col min="4865" max="4865" width="9.42578125" style="139" customWidth="1"/>
    <col min="4866" max="4866" width="77.7109375" style="139" customWidth="1"/>
    <col min="4867" max="4867" width="7.85546875" style="139" customWidth="1"/>
    <col min="4868" max="4868" width="20.42578125" style="139" customWidth="1"/>
    <col min="4869" max="4869" width="9.140625" style="139"/>
    <col min="4870" max="4870" width="13.140625" style="139" customWidth="1"/>
    <col min="4871" max="5120" width="9.140625" style="139"/>
    <col min="5121" max="5121" width="9.42578125" style="139" customWidth="1"/>
    <col min="5122" max="5122" width="77.7109375" style="139" customWidth="1"/>
    <col min="5123" max="5123" width="7.85546875" style="139" customWidth="1"/>
    <col min="5124" max="5124" width="20.42578125" style="139" customWidth="1"/>
    <col min="5125" max="5125" width="9.140625" style="139"/>
    <col min="5126" max="5126" width="13.140625" style="139" customWidth="1"/>
    <col min="5127" max="5376" width="9.140625" style="139"/>
    <col min="5377" max="5377" width="9.42578125" style="139" customWidth="1"/>
    <col min="5378" max="5378" width="77.7109375" style="139" customWidth="1"/>
    <col min="5379" max="5379" width="7.85546875" style="139" customWidth="1"/>
    <col min="5380" max="5380" width="20.42578125" style="139" customWidth="1"/>
    <col min="5381" max="5381" width="9.140625" style="139"/>
    <col min="5382" max="5382" width="13.140625" style="139" customWidth="1"/>
    <col min="5383" max="5632" width="9.140625" style="139"/>
    <col min="5633" max="5633" width="9.42578125" style="139" customWidth="1"/>
    <col min="5634" max="5634" width="77.7109375" style="139" customWidth="1"/>
    <col min="5635" max="5635" width="7.85546875" style="139" customWidth="1"/>
    <col min="5636" max="5636" width="20.42578125" style="139" customWidth="1"/>
    <col min="5637" max="5637" width="9.140625" style="139"/>
    <col min="5638" max="5638" width="13.140625" style="139" customWidth="1"/>
    <col min="5639" max="5888" width="9.140625" style="139"/>
    <col min="5889" max="5889" width="9.42578125" style="139" customWidth="1"/>
    <col min="5890" max="5890" width="77.7109375" style="139" customWidth="1"/>
    <col min="5891" max="5891" width="7.85546875" style="139" customWidth="1"/>
    <col min="5892" max="5892" width="20.42578125" style="139" customWidth="1"/>
    <col min="5893" max="5893" width="9.140625" style="139"/>
    <col min="5894" max="5894" width="13.140625" style="139" customWidth="1"/>
    <col min="5895" max="6144" width="9.140625" style="139"/>
    <col min="6145" max="6145" width="9.42578125" style="139" customWidth="1"/>
    <col min="6146" max="6146" width="77.7109375" style="139" customWidth="1"/>
    <col min="6147" max="6147" width="7.85546875" style="139" customWidth="1"/>
    <col min="6148" max="6148" width="20.42578125" style="139" customWidth="1"/>
    <col min="6149" max="6149" width="9.140625" style="139"/>
    <col min="6150" max="6150" width="13.140625" style="139" customWidth="1"/>
    <col min="6151" max="6400" width="9.140625" style="139"/>
    <col min="6401" max="6401" width="9.42578125" style="139" customWidth="1"/>
    <col min="6402" max="6402" width="77.7109375" style="139" customWidth="1"/>
    <col min="6403" max="6403" width="7.85546875" style="139" customWidth="1"/>
    <col min="6404" max="6404" width="20.42578125" style="139" customWidth="1"/>
    <col min="6405" max="6405" width="9.140625" style="139"/>
    <col min="6406" max="6406" width="13.140625" style="139" customWidth="1"/>
    <col min="6407" max="6656" width="9.140625" style="139"/>
    <col min="6657" max="6657" width="9.42578125" style="139" customWidth="1"/>
    <col min="6658" max="6658" width="77.7109375" style="139" customWidth="1"/>
    <col min="6659" max="6659" width="7.85546875" style="139" customWidth="1"/>
    <col min="6660" max="6660" width="20.42578125" style="139" customWidth="1"/>
    <col min="6661" max="6661" width="9.140625" style="139"/>
    <col min="6662" max="6662" width="13.140625" style="139" customWidth="1"/>
    <col min="6663" max="6912" width="9.140625" style="139"/>
    <col min="6913" max="6913" width="9.42578125" style="139" customWidth="1"/>
    <col min="6914" max="6914" width="77.7109375" style="139" customWidth="1"/>
    <col min="6915" max="6915" width="7.85546875" style="139" customWidth="1"/>
    <col min="6916" max="6916" width="20.42578125" style="139" customWidth="1"/>
    <col min="6917" max="6917" width="9.140625" style="139"/>
    <col min="6918" max="6918" width="13.140625" style="139" customWidth="1"/>
    <col min="6919" max="7168" width="9.140625" style="139"/>
    <col min="7169" max="7169" width="9.42578125" style="139" customWidth="1"/>
    <col min="7170" max="7170" width="77.7109375" style="139" customWidth="1"/>
    <col min="7171" max="7171" width="7.85546875" style="139" customWidth="1"/>
    <col min="7172" max="7172" width="20.42578125" style="139" customWidth="1"/>
    <col min="7173" max="7173" width="9.140625" style="139"/>
    <col min="7174" max="7174" width="13.140625" style="139" customWidth="1"/>
    <col min="7175" max="7424" width="9.140625" style="139"/>
    <col min="7425" max="7425" width="9.42578125" style="139" customWidth="1"/>
    <col min="7426" max="7426" width="77.7109375" style="139" customWidth="1"/>
    <col min="7427" max="7427" width="7.85546875" style="139" customWidth="1"/>
    <col min="7428" max="7428" width="20.42578125" style="139" customWidth="1"/>
    <col min="7429" max="7429" width="9.140625" style="139"/>
    <col min="7430" max="7430" width="13.140625" style="139" customWidth="1"/>
    <col min="7431" max="7680" width="9.140625" style="139"/>
    <col min="7681" max="7681" width="9.42578125" style="139" customWidth="1"/>
    <col min="7682" max="7682" width="77.7109375" style="139" customWidth="1"/>
    <col min="7683" max="7683" width="7.85546875" style="139" customWidth="1"/>
    <col min="7684" max="7684" width="20.42578125" style="139" customWidth="1"/>
    <col min="7685" max="7685" width="9.140625" style="139"/>
    <col min="7686" max="7686" width="13.140625" style="139" customWidth="1"/>
    <col min="7687" max="7936" width="9.140625" style="139"/>
    <col min="7937" max="7937" width="9.42578125" style="139" customWidth="1"/>
    <col min="7938" max="7938" width="77.7109375" style="139" customWidth="1"/>
    <col min="7939" max="7939" width="7.85546875" style="139" customWidth="1"/>
    <col min="7940" max="7940" width="20.42578125" style="139" customWidth="1"/>
    <col min="7941" max="7941" width="9.140625" style="139"/>
    <col min="7942" max="7942" width="13.140625" style="139" customWidth="1"/>
    <col min="7943" max="8192" width="9.140625" style="139"/>
    <col min="8193" max="8193" width="9.42578125" style="139" customWidth="1"/>
    <col min="8194" max="8194" width="77.7109375" style="139" customWidth="1"/>
    <col min="8195" max="8195" width="7.85546875" style="139" customWidth="1"/>
    <col min="8196" max="8196" width="20.42578125" style="139" customWidth="1"/>
    <col min="8197" max="8197" width="9.140625" style="139"/>
    <col min="8198" max="8198" width="13.140625" style="139" customWidth="1"/>
    <col min="8199" max="8448" width="9.140625" style="139"/>
    <col min="8449" max="8449" width="9.42578125" style="139" customWidth="1"/>
    <col min="8450" max="8450" width="77.7109375" style="139" customWidth="1"/>
    <col min="8451" max="8451" width="7.85546875" style="139" customWidth="1"/>
    <col min="8452" max="8452" width="20.42578125" style="139" customWidth="1"/>
    <col min="8453" max="8453" width="9.140625" style="139"/>
    <col min="8454" max="8454" width="13.140625" style="139" customWidth="1"/>
    <col min="8455" max="8704" width="9.140625" style="139"/>
    <col min="8705" max="8705" width="9.42578125" style="139" customWidth="1"/>
    <col min="8706" max="8706" width="77.7109375" style="139" customWidth="1"/>
    <col min="8707" max="8707" width="7.85546875" style="139" customWidth="1"/>
    <col min="8708" max="8708" width="20.42578125" style="139" customWidth="1"/>
    <col min="8709" max="8709" width="9.140625" style="139"/>
    <col min="8710" max="8710" width="13.140625" style="139" customWidth="1"/>
    <col min="8711" max="8960" width="9.140625" style="139"/>
    <col min="8961" max="8961" width="9.42578125" style="139" customWidth="1"/>
    <col min="8962" max="8962" width="77.7109375" style="139" customWidth="1"/>
    <col min="8963" max="8963" width="7.85546875" style="139" customWidth="1"/>
    <col min="8964" max="8964" width="20.42578125" style="139" customWidth="1"/>
    <col min="8965" max="8965" width="9.140625" style="139"/>
    <col min="8966" max="8966" width="13.140625" style="139" customWidth="1"/>
    <col min="8967" max="9216" width="9.140625" style="139"/>
    <col min="9217" max="9217" width="9.42578125" style="139" customWidth="1"/>
    <col min="9218" max="9218" width="77.7109375" style="139" customWidth="1"/>
    <col min="9219" max="9219" width="7.85546875" style="139" customWidth="1"/>
    <col min="9220" max="9220" width="20.42578125" style="139" customWidth="1"/>
    <col min="9221" max="9221" width="9.140625" style="139"/>
    <col min="9222" max="9222" width="13.140625" style="139" customWidth="1"/>
    <col min="9223" max="9472" width="9.140625" style="139"/>
    <col min="9473" max="9473" width="9.42578125" style="139" customWidth="1"/>
    <col min="9474" max="9474" width="77.7109375" style="139" customWidth="1"/>
    <col min="9475" max="9475" width="7.85546875" style="139" customWidth="1"/>
    <col min="9476" max="9476" width="20.42578125" style="139" customWidth="1"/>
    <col min="9477" max="9477" width="9.140625" style="139"/>
    <col min="9478" max="9478" width="13.140625" style="139" customWidth="1"/>
    <col min="9479" max="9728" width="9.140625" style="139"/>
    <col min="9729" max="9729" width="9.42578125" style="139" customWidth="1"/>
    <col min="9730" max="9730" width="77.7109375" style="139" customWidth="1"/>
    <col min="9731" max="9731" width="7.85546875" style="139" customWidth="1"/>
    <col min="9732" max="9732" width="20.42578125" style="139" customWidth="1"/>
    <col min="9733" max="9733" width="9.140625" style="139"/>
    <col min="9734" max="9734" width="13.140625" style="139" customWidth="1"/>
    <col min="9735" max="9984" width="9.140625" style="139"/>
    <col min="9985" max="9985" width="9.42578125" style="139" customWidth="1"/>
    <col min="9986" max="9986" width="77.7109375" style="139" customWidth="1"/>
    <col min="9987" max="9987" width="7.85546875" style="139" customWidth="1"/>
    <col min="9988" max="9988" width="20.42578125" style="139" customWidth="1"/>
    <col min="9989" max="9989" width="9.140625" style="139"/>
    <col min="9990" max="9990" width="13.140625" style="139" customWidth="1"/>
    <col min="9991" max="10240" width="9.140625" style="139"/>
    <col min="10241" max="10241" width="9.42578125" style="139" customWidth="1"/>
    <col min="10242" max="10242" width="77.7109375" style="139" customWidth="1"/>
    <col min="10243" max="10243" width="7.85546875" style="139" customWidth="1"/>
    <col min="10244" max="10244" width="20.42578125" style="139" customWidth="1"/>
    <col min="10245" max="10245" width="9.140625" style="139"/>
    <col min="10246" max="10246" width="13.140625" style="139" customWidth="1"/>
    <col min="10247" max="10496" width="9.140625" style="139"/>
    <col min="10497" max="10497" width="9.42578125" style="139" customWidth="1"/>
    <col min="10498" max="10498" width="77.7109375" style="139" customWidth="1"/>
    <col min="10499" max="10499" width="7.85546875" style="139" customWidth="1"/>
    <col min="10500" max="10500" width="20.42578125" style="139" customWidth="1"/>
    <col min="10501" max="10501" width="9.140625" style="139"/>
    <col min="10502" max="10502" width="13.140625" style="139" customWidth="1"/>
    <col min="10503" max="10752" width="9.140625" style="139"/>
    <col min="10753" max="10753" width="9.42578125" style="139" customWidth="1"/>
    <col min="10754" max="10754" width="77.7109375" style="139" customWidth="1"/>
    <col min="10755" max="10755" width="7.85546875" style="139" customWidth="1"/>
    <col min="10756" max="10756" width="20.42578125" style="139" customWidth="1"/>
    <col min="10757" max="10757" width="9.140625" style="139"/>
    <col min="10758" max="10758" width="13.140625" style="139" customWidth="1"/>
    <col min="10759" max="11008" width="9.140625" style="139"/>
    <col min="11009" max="11009" width="9.42578125" style="139" customWidth="1"/>
    <col min="11010" max="11010" width="77.7109375" style="139" customWidth="1"/>
    <col min="11011" max="11011" width="7.85546875" style="139" customWidth="1"/>
    <col min="11012" max="11012" width="20.42578125" style="139" customWidth="1"/>
    <col min="11013" max="11013" width="9.140625" style="139"/>
    <col min="11014" max="11014" width="13.140625" style="139" customWidth="1"/>
    <col min="11015" max="11264" width="9.140625" style="139"/>
    <col min="11265" max="11265" width="9.42578125" style="139" customWidth="1"/>
    <col min="11266" max="11266" width="77.7109375" style="139" customWidth="1"/>
    <col min="11267" max="11267" width="7.85546875" style="139" customWidth="1"/>
    <col min="11268" max="11268" width="20.42578125" style="139" customWidth="1"/>
    <col min="11269" max="11269" width="9.140625" style="139"/>
    <col min="11270" max="11270" width="13.140625" style="139" customWidth="1"/>
    <col min="11271" max="11520" width="9.140625" style="139"/>
    <col min="11521" max="11521" width="9.42578125" style="139" customWidth="1"/>
    <col min="11522" max="11522" width="77.7109375" style="139" customWidth="1"/>
    <col min="11523" max="11523" width="7.85546875" style="139" customWidth="1"/>
    <col min="11524" max="11524" width="20.42578125" style="139" customWidth="1"/>
    <col min="11525" max="11525" width="9.140625" style="139"/>
    <col min="11526" max="11526" width="13.140625" style="139" customWidth="1"/>
    <col min="11527" max="11776" width="9.140625" style="139"/>
    <col min="11777" max="11777" width="9.42578125" style="139" customWidth="1"/>
    <col min="11778" max="11778" width="77.7109375" style="139" customWidth="1"/>
    <col min="11779" max="11779" width="7.85546875" style="139" customWidth="1"/>
    <col min="11780" max="11780" width="20.42578125" style="139" customWidth="1"/>
    <col min="11781" max="11781" width="9.140625" style="139"/>
    <col min="11782" max="11782" width="13.140625" style="139" customWidth="1"/>
    <col min="11783" max="12032" width="9.140625" style="139"/>
    <col min="12033" max="12033" width="9.42578125" style="139" customWidth="1"/>
    <col min="12034" max="12034" width="77.7109375" style="139" customWidth="1"/>
    <col min="12035" max="12035" width="7.85546875" style="139" customWidth="1"/>
    <col min="12036" max="12036" width="20.42578125" style="139" customWidth="1"/>
    <col min="12037" max="12037" width="9.140625" style="139"/>
    <col min="12038" max="12038" width="13.140625" style="139" customWidth="1"/>
    <col min="12039" max="12288" width="9.140625" style="139"/>
    <col min="12289" max="12289" width="9.42578125" style="139" customWidth="1"/>
    <col min="12290" max="12290" width="77.7109375" style="139" customWidth="1"/>
    <col min="12291" max="12291" width="7.85546875" style="139" customWidth="1"/>
    <col min="12292" max="12292" width="20.42578125" style="139" customWidth="1"/>
    <col min="12293" max="12293" width="9.140625" style="139"/>
    <col min="12294" max="12294" width="13.140625" style="139" customWidth="1"/>
    <col min="12295" max="12544" width="9.140625" style="139"/>
    <col min="12545" max="12545" width="9.42578125" style="139" customWidth="1"/>
    <col min="12546" max="12546" width="77.7109375" style="139" customWidth="1"/>
    <col min="12547" max="12547" width="7.85546875" style="139" customWidth="1"/>
    <col min="12548" max="12548" width="20.42578125" style="139" customWidth="1"/>
    <col min="12549" max="12549" width="9.140625" style="139"/>
    <col min="12550" max="12550" width="13.140625" style="139" customWidth="1"/>
    <col min="12551" max="12800" width="9.140625" style="139"/>
    <col min="12801" max="12801" width="9.42578125" style="139" customWidth="1"/>
    <col min="12802" max="12802" width="77.7109375" style="139" customWidth="1"/>
    <col min="12803" max="12803" width="7.85546875" style="139" customWidth="1"/>
    <col min="12804" max="12804" width="20.42578125" style="139" customWidth="1"/>
    <col min="12805" max="12805" width="9.140625" style="139"/>
    <col min="12806" max="12806" width="13.140625" style="139" customWidth="1"/>
    <col min="12807" max="13056" width="9.140625" style="139"/>
    <col min="13057" max="13057" width="9.42578125" style="139" customWidth="1"/>
    <col min="13058" max="13058" width="77.7109375" style="139" customWidth="1"/>
    <col min="13059" max="13059" width="7.85546875" style="139" customWidth="1"/>
    <col min="13060" max="13060" width="20.42578125" style="139" customWidth="1"/>
    <col min="13061" max="13061" width="9.140625" style="139"/>
    <col min="13062" max="13062" width="13.140625" style="139" customWidth="1"/>
    <col min="13063" max="13312" width="9.140625" style="139"/>
    <col min="13313" max="13313" width="9.42578125" style="139" customWidth="1"/>
    <col min="13314" max="13314" width="77.7109375" style="139" customWidth="1"/>
    <col min="13315" max="13315" width="7.85546875" style="139" customWidth="1"/>
    <col min="13316" max="13316" width="20.42578125" style="139" customWidth="1"/>
    <col min="13317" max="13317" width="9.140625" style="139"/>
    <col min="13318" max="13318" width="13.140625" style="139" customWidth="1"/>
    <col min="13319" max="13568" width="9.140625" style="139"/>
    <col min="13569" max="13569" width="9.42578125" style="139" customWidth="1"/>
    <col min="13570" max="13570" width="77.7109375" style="139" customWidth="1"/>
    <col min="13571" max="13571" width="7.85546875" style="139" customWidth="1"/>
    <col min="13572" max="13572" width="20.42578125" style="139" customWidth="1"/>
    <col min="13573" max="13573" width="9.140625" style="139"/>
    <col min="13574" max="13574" width="13.140625" style="139" customWidth="1"/>
    <col min="13575" max="13824" width="9.140625" style="139"/>
    <col min="13825" max="13825" width="9.42578125" style="139" customWidth="1"/>
    <col min="13826" max="13826" width="77.7109375" style="139" customWidth="1"/>
    <col min="13827" max="13827" width="7.85546875" style="139" customWidth="1"/>
    <col min="13828" max="13828" width="20.42578125" style="139" customWidth="1"/>
    <col min="13829" max="13829" width="9.140625" style="139"/>
    <col min="13830" max="13830" width="13.140625" style="139" customWidth="1"/>
    <col min="13831" max="14080" width="9.140625" style="139"/>
    <col min="14081" max="14081" width="9.42578125" style="139" customWidth="1"/>
    <col min="14082" max="14082" width="77.7109375" style="139" customWidth="1"/>
    <col min="14083" max="14083" width="7.85546875" style="139" customWidth="1"/>
    <col min="14084" max="14084" width="20.42578125" style="139" customWidth="1"/>
    <col min="14085" max="14085" width="9.140625" style="139"/>
    <col min="14086" max="14086" width="13.140625" style="139" customWidth="1"/>
    <col min="14087" max="14336" width="9.140625" style="139"/>
    <col min="14337" max="14337" width="9.42578125" style="139" customWidth="1"/>
    <col min="14338" max="14338" width="77.7109375" style="139" customWidth="1"/>
    <col min="14339" max="14339" width="7.85546875" style="139" customWidth="1"/>
    <col min="14340" max="14340" width="20.42578125" style="139" customWidth="1"/>
    <col min="14341" max="14341" width="9.140625" style="139"/>
    <col min="14342" max="14342" width="13.140625" style="139" customWidth="1"/>
    <col min="14343" max="14592" width="9.140625" style="139"/>
    <col min="14593" max="14593" width="9.42578125" style="139" customWidth="1"/>
    <col min="14594" max="14594" width="77.7109375" style="139" customWidth="1"/>
    <col min="14595" max="14595" width="7.85546875" style="139" customWidth="1"/>
    <col min="14596" max="14596" width="20.42578125" style="139" customWidth="1"/>
    <col min="14597" max="14597" width="9.140625" style="139"/>
    <col min="14598" max="14598" width="13.140625" style="139" customWidth="1"/>
    <col min="14599" max="14848" width="9.140625" style="139"/>
    <col min="14849" max="14849" width="9.42578125" style="139" customWidth="1"/>
    <col min="14850" max="14850" width="77.7109375" style="139" customWidth="1"/>
    <col min="14851" max="14851" width="7.85546875" style="139" customWidth="1"/>
    <col min="14852" max="14852" width="20.42578125" style="139" customWidth="1"/>
    <col min="14853" max="14853" width="9.140625" style="139"/>
    <col min="14854" max="14854" width="13.140625" style="139" customWidth="1"/>
    <col min="14855" max="15104" width="9.140625" style="139"/>
    <col min="15105" max="15105" width="9.42578125" style="139" customWidth="1"/>
    <col min="15106" max="15106" width="77.7109375" style="139" customWidth="1"/>
    <col min="15107" max="15107" width="7.85546875" style="139" customWidth="1"/>
    <col min="15108" max="15108" width="20.42578125" style="139" customWidth="1"/>
    <col min="15109" max="15109" width="9.140625" style="139"/>
    <col min="15110" max="15110" width="13.140625" style="139" customWidth="1"/>
    <col min="15111" max="15360" width="9.140625" style="139"/>
    <col min="15361" max="15361" width="9.42578125" style="139" customWidth="1"/>
    <col min="15362" max="15362" width="77.7109375" style="139" customWidth="1"/>
    <col min="15363" max="15363" width="7.85546875" style="139" customWidth="1"/>
    <col min="15364" max="15364" width="20.42578125" style="139" customWidth="1"/>
    <col min="15365" max="15365" width="9.140625" style="139"/>
    <col min="15366" max="15366" width="13.140625" style="139" customWidth="1"/>
    <col min="15367" max="15616" width="9.140625" style="139"/>
    <col min="15617" max="15617" width="9.42578125" style="139" customWidth="1"/>
    <col min="15618" max="15618" width="77.7109375" style="139" customWidth="1"/>
    <col min="15619" max="15619" width="7.85546875" style="139" customWidth="1"/>
    <col min="15620" max="15620" width="20.42578125" style="139" customWidth="1"/>
    <col min="15621" max="15621" width="9.140625" style="139"/>
    <col min="15622" max="15622" width="13.140625" style="139" customWidth="1"/>
    <col min="15623" max="15872" width="9.140625" style="139"/>
    <col min="15873" max="15873" width="9.42578125" style="139" customWidth="1"/>
    <col min="15874" max="15874" width="77.7109375" style="139" customWidth="1"/>
    <col min="15875" max="15875" width="7.85546875" style="139" customWidth="1"/>
    <col min="15876" max="15876" width="20.42578125" style="139" customWidth="1"/>
    <col min="15877" max="15877" width="9.140625" style="139"/>
    <col min="15878" max="15878" width="13.140625" style="139" customWidth="1"/>
    <col min="15879" max="16128" width="9.140625" style="139"/>
    <col min="16129" max="16129" width="9.42578125" style="139" customWidth="1"/>
    <col min="16130" max="16130" width="77.7109375" style="139" customWidth="1"/>
    <col min="16131" max="16131" width="7.85546875" style="139" customWidth="1"/>
    <col min="16132" max="16132" width="20.42578125" style="139" customWidth="1"/>
    <col min="16133" max="16133" width="9.140625" style="139"/>
    <col min="16134" max="16134" width="13.140625" style="139" customWidth="1"/>
    <col min="16135" max="16384" width="9.140625" style="139"/>
  </cols>
  <sheetData>
    <row r="1" spans="1:6" s="126" customFormat="1" ht="15.75" x14ac:dyDescent="0.25">
      <c r="A1" s="121" t="str">
        <f>Sr!A2</f>
        <v>Karlovy Vary, Výměna gravitačního řádu termominerální vody</v>
      </c>
      <c r="B1" s="122"/>
      <c r="C1" s="123"/>
      <c r="D1" s="124"/>
      <c r="E1" s="125"/>
      <c r="F1" s="124"/>
    </row>
    <row r="2" spans="1:6" s="126" customFormat="1" ht="15.75" x14ac:dyDescent="0.25">
      <c r="A2" s="121" t="str">
        <f>Sr!A7</f>
        <v>SO 01 - Potrubní rozvody</v>
      </c>
      <c r="B2" s="122"/>
      <c r="C2" s="123"/>
      <c r="D2" s="124"/>
      <c r="E2" s="125"/>
      <c r="F2" s="124"/>
    </row>
    <row r="3" spans="1:6" s="126" customFormat="1" ht="18.75" customHeight="1" x14ac:dyDescent="0.25">
      <c r="A3" s="121" t="s">
        <v>675</v>
      </c>
      <c r="D3" s="124"/>
      <c r="E3" s="125"/>
      <c r="F3" s="124"/>
    </row>
    <row r="4" spans="1:6" s="122" customFormat="1" ht="18" customHeight="1" x14ac:dyDescent="0.25">
      <c r="A4" s="121" t="s">
        <v>676</v>
      </c>
      <c r="C4" s="127"/>
      <c r="D4" s="128"/>
      <c r="F4" s="129" t="s">
        <v>677</v>
      </c>
    </row>
    <row r="5" spans="1:6" s="122" customFormat="1" ht="18" customHeight="1" x14ac:dyDescent="0.25">
      <c r="A5" s="122" t="s">
        <v>678</v>
      </c>
      <c r="B5" s="130"/>
      <c r="C5" s="123" t="s">
        <v>679</v>
      </c>
      <c r="D5" s="131" t="s">
        <v>680</v>
      </c>
      <c r="E5" s="129" t="s">
        <v>681</v>
      </c>
      <c r="F5" s="132">
        <v>1.6</v>
      </c>
    </row>
    <row r="6" spans="1:6" x14ac:dyDescent="0.25">
      <c r="A6" s="133"/>
      <c r="B6" s="134"/>
      <c r="C6" s="135" t="s">
        <v>682</v>
      </c>
      <c r="D6" s="136" t="s">
        <v>683</v>
      </c>
      <c r="E6" s="137" t="s">
        <v>684</v>
      </c>
      <c r="F6" s="138"/>
    </row>
    <row r="7" spans="1:6" ht="13.5" thickBot="1" x14ac:dyDescent="0.3">
      <c r="A7" s="140" t="s">
        <v>685</v>
      </c>
      <c r="B7" s="141" t="s">
        <v>686</v>
      </c>
      <c r="C7" s="142" t="s">
        <v>687</v>
      </c>
      <c r="D7" s="143" t="s">
        <v>688</v>
      </c>
      <c r="E7" s="141" t="s">
        <v>71</v>
      </c>
      <c r="F7" s="144" t="s">
        <v>256</v>
      </c>
    </row>
    <row r="8" spans="1:6" ht="16.5" customHeight="1" thickBot="1" x14ac:dyDescent="0.3">
      <c r="A8" s="145" t="s">
        <v>675</v>
      </c>
      <c r="B8" s="146"/>
      <c r="C8" s="146"/>
      <c r="D8" s="147"/>
      <c r="E8" s="147"/>
      <c r="F8" s="147"/>
    </row>
    <row r="9" spans="1:6" x14ac:dyDescent="0.25">
      <c r="A9" s="148"/>
      <c r="B9" s="149" t="s">
        <v>689</v>
      </c>
      <c r="C9" s="150"/>
      <c r="E9" s="152"/>
      <c r="F9" s="153"/>
    </row>
    <row r="10" spans="1:6" x14ac:dyDescent="0.25">
      <c r="A10" s="148">
        <v>1</v>
      </c>
      <c r="B10" s="154" t="s">
        <v>690</v>
      </c>
      <c r="C10" s="150">
        <v>2000</v>
      </c>
      <c r="D10" s="151" t="s">
        <v>691</v>
      </c>
      <c r="E10" s="152">
        <v>468</v>
      </c>
      <c r="F10" s="153"/>
    </row>
    <row r="11" spans="1:6" x14ac:dyDescent="0.25">
      <c r="A11" s="148">
        <v>2</v>
      </c>
      <c r="B11" s="154" t="s">
        <v>690</v>
      </c>
      <c r="C11" s="150">
        <v>2000</v>
      </c>
      <c r="D11" s="151" t="s">
        <v>692</v>
      </c>
      <c r="E11" s="152">
        <v>276</v>
      </c>
      <c r="F11" s="153"/>
    </row>
    <row r="12" spans="1:6" x14ac:dyDescent="0.25">
      <c r="A12" s="148">
        <v>3</v>
      </c>
      <c r="B12" s="154" t="s">
        <v>690</v>
      </c>
      <c r="C12" s="150">
        <v>2000</v>
      </c>
      <c r="D12" s="151" t="s">
        <v>693</v>
      </c>
      <c r="E12" s="152">
        <v>12</v>
      </c>
      <c r="F12" s="153"/>
    </row>
    <row r="13" spans="1:6" x14ac:dyDescent="0.25">
      <c r="A13" s="148">
        <v>4</v>
      </c>
      <c r="B13" s="154" t="s">
        <v>694</v>
      </c>
      <c r="C13" s="150">
        <v>2000</v>
      </c>
      <c r="D13" s="151" t="s">
        <v>691</v>
      </c>
      <c r="E13" s="152">
        <v>60</v>
      </c>
      <c r="F13" s="153"/>
    </row>
    <row r="14" spans="1:6" x14ac:dyDescent="0.25">
      <c r="A14" s="148">
        <v>5</v>
      </c>
      <c r="B14" s="154" t="s">
        <v>695</v>
      </c>
      <c r="C14" s="150" t="s">
        <v>696</v>
      </c>
      <c r="D14" s="151" t="s">
        <v>691</v>
      </c>
      <c r="E14" s="152">
        <v>72</v>
      </c>
      <c r="F14" s="153"/>
    </row>
    <row r="15" spans="1:6" x14ac:dyDescent="0.25">
      <c r="A15" s="148">
        <v>6</v>
      </c>
      <c r="B15" s="154" t="s">
        <v>697</v>
      </c>
      <c r="C15" s="150" t="s">
        <v>696</v>
      </c>
      <c r="D15" s="151" t="s">
        <v>691</v>
      </c>
      <c r="E15" s="152">
        <v>12</v>
      </c>
      <c r="F15" s="153"/>
    </row>
    <row r="16" spans="1:6" x14ac:dyDescent="0.25">
      <c r="A16" s="148">
        <v>7</v>
      </c>
      <c r="B16" s="154" t="s">
        <v>698</v>
      </c>
      <c r="C16" s="150">
        <v>2500</v>
      </c>
      <c r="D16" s="151" t="s">
        <v>691</v>
      </c>
      <c r="E16" s="152"/>
      <c r="F16" s="153">
        <v>7</v>
      </c>
    </row>
    <row r="17" spans="1:6" x14ac:dyDescent="0.25">
      <c r="A17" s="148">
        <v>8</v>
      </c>
      <c r="B17" s="154" t="s">
        <v>699</v>
      </c>
      <c r="C17" s="150">
        <v>2500</v>
      </c>
      <c r="D17" s="151" t="s">
        <v>692</v>
      </c>
      <c r="E17" s="152"/>
      <c r="F17" s="153">
        <v>7</v>
      </c>
    </row>
    <row r="18" spans="1:6" x14ac:dyDescent="0.25">
      <c r="A18" s="148">
        <v>9</v>
      </c>
      <c r="B18" s="154" t="s">
        <v>700</v>
      </c>
      <c r="C18" s="150">
        <v>2500</v>
      </c>
      <c r="D18" s="151" t="s">
        <v>693</v>
      </c>
      <c r="E18" s="152"/>
      <c r="F18" s="153">
        <v>4</v>
      </c>
    </row>
    <row r="19" spans="1:6" x14ac:dyDescent="0.25">
      <c r="A19" s="148">
        <v>10</v>
      </c>
      <c r="B19" s="154" t="s">
        <v>701</v>
      </c>
      <c r="C19" s="150">
        <v>2500</v>
      </c>
      <c r="D19" s="151" t="s">
        <v>691</v>
      </c>
      <c r="E19" s="152"/>
      <c r="F19" s="153">
        <v>1</v>
      </c>
    </row>
    <row r="20" spans="1:6" x14ac:dyDescent="0.25">
      <c r="A20" s="148">
        <v>11</v>
      </c>
      <c r="B20" s="154" t="s">
        <v>702</v>
      </c>
      <c r="C20" s="150">
        <v>2500</v>
      </c>
      <c r="D20" s="151" t="s">
        <v>691</v>
      </c>
      <c r="E20" s="152"/>
      <c r="F20" s="153">
        <v>6</v>
      </c>
    </row>
    <row r="21" spans="1:6" x14ac:dyDescent="0.25">
      <c r="A21" s="148">
        <v>12</v>
      </c>
      <c r="B21" s="154" t="s">
        <v>703</v>
      </c>
      <c r="C21" s="150">
        <v>2500</v>
      </c>
      <c r="D21" s="151" t="s">
        <v>691</v>
      </c>
      <c r="E21" s="152"/>
      <c r="F21" s="153">
        <v>1</v>
      </c>
    </row>
    <row r="22" spans="1:6" x14ac:dyDescent="0.25">
      <c r="A22" s="148">
        <v>13</v>
      </c>
      <c r="B22" s="154" t="s">
        <v>704</v>
      </c>
      <c r="C22" s="150">
        <v>2500</v>
      </c>
      <c r="D22" s="151" t="s">
        <v>691</v>
      </c>
      <c r="E22" s="152"/>
      <c r="F22" s="153">
        <v>2</v>
      </c>
    </row>
    <row r="23" spans="1:6" x14ac:dyDescent="0.25">
      <c r="A23" s="148">
        <v>14</v>
      </c>
      <c r="B23" s="154" t="s">
        <v>705</v>
      </c>
      <c r="C23" s="150">
        <v>2500</v>
      </c>
      <c r="D23" s="151" t="s">
        <v>691</v>
      </c>
      <c r="E23" s="152"/>
      <c r="F23" s="153">
        <v>1</v>
      </c>
    </row>
    <row r="24" spans="1:6" x14ac:dyDescent="0.25">
      <c r="A24" s="148">
        <v>15</v>
      </c>
      <c r="B24" s="154" t="s">
        <v>706</v>
      </c>
      <c r="C24" s="150">
        <v>2500</v>
      </c>
      <c r="D24" s="151" t="s">
        <v>692</v>
      </c>
      <c r="E24" s="152"/>
      <c r="F24" s="153">
        <v>1</v>
      </c>
    </row>
    <row r="25" spans="1:6" x14ac:dyDescent="0.25">
      <c r="A25" s="148">
        <v>16</v>
      </c>
      <c r="B25" s="154" t="s">
        <v>702</v>
      </c>
      <c r="C25" s="150">
        <v>2500</v>
      </c>
      <c r="D25" s="151" t="s">
        <v>692</v>
      </c>
      <c r="E25" s="152"/>
      <c r="F25" s="153">
        <v>1</v>
      </c>
    </row>
    <row r="26" spans="1:6" x14ac:dyDescent="0.25">
      <c r="A26" s="148">
        <v>17</v>
      </c>
      <c r="B26" s="154" t="s">
        <v>704</v>
      </c>
      <c r="C26" s="150">
        <v>2500</v>
      </c>
      <c r="D26" s="151" t="s">
        <v>692</v>
      </c>
      <c r="E26" s="152"/>
      <c r="F26" s="153">
        <v>1</v>
      </c>
    </row>
    <row r="27" spans="1:6" x14ac:dyDescent="0.25">
      <c r="A27" s="148">
        <v>18</v>
      </c>
      <c r="B27" s="154" t="s">
        <v>707</v>
      </c>
      <c r="C27" s="150" t="s">
        <v>708</v>
      </c>
      <c r="D27" s="151" t="s">
        <v>709</v>
      </c>
      <c r="E27" s="152"/>
      <c r="F27" s="153">
        <v>2</v>
      </c>
    </row>
    <row r="28" spans="1:6" x14ac:dyDescent="0.25">
      <c r="A28" s="148">
        <v>19</v>
      </c>
      <c r="B28" s="154" t="s">
        <v>707</v>
      </c>
      <c r="C28" s="150" t="s">
        <v>708</v>
      </c>
      <c r="D28" s="151" t="s">
        <v>710</v>
      </c>
      <c r="E28" s="152"/>
      <c r="F28" s="153">
        <v>1</v>
      </c>
    </row>
    <row r="29" spans="1:6" x14ac:dyDescent="0.25">
      <c r="A29" s="148">
        <v>20</v>
      </c>
      <c r="B29" s="154" t="s">
        <v>707</v>
      </c>
      <c r="C29" s="150" t="s">
        <v>708</v>
      </c>
      <c r="D29" s="151" t="s">
        <v>711</v>
      </c>
      <c r="E29" s="152"/>
      <c r="F29" s="153">
        <v>1</v>
      </c>
    </row>
    <row r="30" spans="1:6" x14ac:dyDescent="0.25">
      <c r="A30" s="148">
        <v>21</v>
      </c>
      <c r="B30" s="154" t="s">
        <v>707</v>
      </c>
      <c r="C30" s="150" t="s">
        <v>708</v>
      </c>
      <c r="D30" s="151" t="s">
        <v>712</v>
      </c>
      <c r="E30" s="152"/>
      <c r="F30" s="153">
        <v>2</v>
      </c>
    </row>
    <row r="31" spans="1:6" x14ac:dyDescent="0.25">
      <c r="A31" s="148">
        <v>22</v>
      </c>
      <c r="B31" s="154" t="s">
        <v>707</v>
      </c>
      <c r="C31" s="150" t="s">
        <v>708</v>
      </c>
      <c r="D31" s="151" t="s">
        <v>713</v>
      </c>
      <c r="E31" s="152"/>
      <c r="F31" s="153">
        <v>1</v>
      </c>
    </row>
    <row r="32" spans="1:6" x14ac:dyDescent="0.25">
      <c r="A32" s="148">
        <v>23</v>
      </c>
      <c r="B32" s="154" t="s">
        <v>714</v>
      </c>
      <c r="C32" s="150" t="s">
        <v>715</v>
      </c>
      <c r="D32" s="151" t="s">
        <v>709</v>
      </c>
      <c r="E32" s="152"/>
      <c r="F32" s="153">
        <v>1</v>
      </c>
    </row>
    <row r="33" spans="1:6" x14ac:dyDescent="0.25">
      <c r="A33" s="148">
        <v>24</v>
      </c>
      <c r="B33" s="154" t="s">
        <v>714</v>
      </c>
      <c r="C33" s="150" t="s">
        <v>715</v>
      </c>
      <c r="D33" s="151" t="s">
        <v>713</v>
      </c>
      <c r="E33" s="152"/>
      <c r="F33" s="153">
        <v>1</v>
      </c>
    </row>
    <row r="34" spans="1:6" x14ac:dyDescent="0.25">
      <c r="A34" s="148">
        <v>25</v>
      </c>
      <c r="B34" s="154" t="s">
        <v>716</v>
      </c>
      <c r="C34" s="150" t="s">
        <v>717</v>
      </c>
      <c r="D34" s="151" t="s">
        <v>718</v>
      </c>
      <c r="E34" s="152"/>
      <c r="F34" s="153">
        <v>1</v>
      </c>
    </row>
    <row r="35" spans="1:6" x14ac:dyDescent="0.25">
      <c r="A35" s="148">
        <v>26</v>
      </c>
      <c r="B35" s="154" t="s">
        <v>719</v>
      </c>
      <c r="C35" s="150" t="s">
        <v>720</v>
      </c>
      <c r="D35" s="151" t="s">
        <v>691</v>
      </c>
      <c r="E35" s="152"/>
      <c r="F35" s="153">
        <v>1</v>
      </c>
    </row>
    <row r="36" spans="1:6" x14ac:dyDescent="0.25">
      <c r="A36" s="148">
        <v>27</v>
      </c>
      <c r="B36" s="154" t="s">
        <v>721</v>
      </c>
      <c r="C36" s="150">
        <v>5022</v>
      </c>
      <c r="D36" s="151" t="s">
        <v>691</v>
      </c>
      <c r="E36" s="152"/>
      <c r="F36" s="153">
        <v>98</v>
      </c>
    </row>
    <row r="37" spans="1:6" x14ac:dyDescent="0.25">
      <c r="A37" s="148">
        <v>28</v>
      </c>
      <c r="B37" s="154" t="s">
        <v>721</v>
      </c>
      <c r="C37" s="150">
        <v>5022</v>
      </c>
      <c r="D37" s="151" t="s">
        <v>692</v>
      </c>
      <c r="E37" s="152"/>
      <c r="F37" s="153">
        <v>37</v>
      </c>
    </row>
    <row r="38" spans="1:6" x14ac:dyDescent="0.25">
      <c r="A38" s="148">
        <v>29</v>
      </c>
      <c r="B38" s="154" t="s">
        <v>721</v>
      </c>
      <c r="C38" s="150">
        <v>5022</v>
      </c>
      <c r="D38" s="151" t="s">
        <v>693</v>
      </c>
      <c r="E38" s="152"/>
      <c r="F38" s="153">
        <v>8</v>
      </c>
    </row>
    <row r="39" spans="1:6" x14ac:dyDescent="0.25">
      <c r="A39" s="148">
        <v>30</v>
      </c>
      <c r="B39" s="154" t="s">
        <v>722</v>
      </c>
      <c r="C39" s="150" t="s">
        <v>723</v>
      </c>
      <c r="D39" s="151" t="s">
        <v>691</v>
      </c>
      <c r="E39" s="152"/>
      <c r="F39" s="153">
        <v>6</v>
      </c>
    </row>
    <row r="40" spans="1:6" x14ac:dyDescent="0.25">
      <c r="A40" s="148">
        <v>31</v>
      </c>
      <c r="B40" s="154" t="s">
        <v>722</v>
      </c>
      <c r="C40" s="150" t="s">
        <v>723</v>
      </c>
      <c r="D40" s="151" t="s">
        <v>692</v>
      </c>
      <c r="E40" s="152"/>
      <c r="F40" s="153">
        <v>4</v>
      </c>
    </row>
    <row r="41" spans="1:6" x14ac:dyDescent="0.25">
      <c r="A41" s="148">
        <v>32</v>
      </c>
      <c r="B41" s="154" t="s">
        <v>722</v>
      </c>
      <c r="C41" s="150" t="s">
        <v>723</v>
      </c>
      <c r="D41" s="151" t="s">
        <v>693</v>
      </c>
      <c r="E41" s="152"/>
      <c r="F41" s="153">
        <v>2</v>
      </c>
    </row>
    <row r="42" spans="1:6" x14ac:dyDescent="0.25">
      <c r="A42" s="148">
        <v>33</v>
      </c>
      <c r="B42" s="154" t="s">
        <v>724</v>
      </c>
      <c r="C42" s="150">
        <v>5600</v>
      </c>
      <c r="D42" s="151" t="s">
        <v>691</v>
      </c>
      <c r="E42" s="152"/>
      <c r="F42" s="153">
        <v>1</v>
      </c>
    </row>
    <row r="43" spans="1:6" x14ac:dyDescent="0.25">
      <c r="A43" s="148">
        <v>34</v>
      </c>
      <c r="B43" s="154" t="s">
        <v>725</v>
      </c>
      <c r="C43" s="150">
        <v>5600</v>
      </c>
      <c r="D43" s="151" t="s">
        <v>692</v>
      </c>
      <c r="E43" s="152"/>
      <c r="F43" s="153">
        <v>2</v>
      </c>
    </row>
    <row r="44" spans="1:6" x14ac:dyDescent="0.25">
      <c r="A44" s="148">
        <v>35</v>
      </c>
      <c r="B44" s="154" t="s">
        <v>726</v>
      </c>
      <c r="C44" s="150">
        <v>5600</v>
      </c>
      <c r="D44" s="151" t="s">
        <v>727</v>
      </c>
      <c r="E44" s="152"/>
      <c r="F44" s="153">
        <v>3</v>
      </c>
    </row>
    <row r="45" spans="1:6" x14ac:dyDescent="0.25">
      <c r="A45" s="148">
        <v>36</v>
      </c>
      <c r="B45" s="154" t="s">
        <v>728</v>
      </c>
      <c r="C45" s="150">
        <v>5600</v>
      </c>
      <c r="D45" s="151" t="s">
        <v>729</v>
      </c>
      <c r="E45" s="152"/>
      <c r="F45" s="153">
        <v>1</v>
      </c>
    </row>
    <row r="46" spans="1:6" x14ac:dyDescent="0.25">
      <c r="A46" s="148">
        <v>37</v>
      </c>
      <c r="B46" s="154" t="s">
        <v>730</v>
      </c>
      <c r="C46" s="150">
        <v>5600</v>
      </c>
      <c r="D46" s="151" t="s">
        <v>731</v>
      </c>
      <c r="E46" s="152"/>
      <c r="F46" s="153">
        <v>1</v>
      </c>
    </row>
    <row r="47" spans="1:6" x14ac:dyDescent="0.25">
      <c r="A47" s="148">
        <v>38</v>
      </c>
      <c r="B47" s="154" t="s">
        <v>732</v>
      </c>
      <c r="C47" s="150">
        <v>5600</v>
      </c>
      <c r="D47" s="151" t="s">
        <v>733</v>
      </c>
      <c r="E47" s="152"/>
      <c r="F47" s="153">
        <v>2</v>
      </c>
    </row>
    <row r="48" spans="1:6" x14ac:dyDescent="0.25">
      <c r="A48" s="148">
        <v>39</v>
      </c>
      <c r="B48" s="154" t="s">
        <v>734</v>
      </c>
      <c r="C48" s="150">
        <v>5600</v>
      </c>
      <c r="D48" s="151" t="s">
        <v>693</v>
      </c>
      <c r="E48" s="152"/>
      <c r="F48" s="153">
        <v>2</v>
      </c>
    </row>
    <row r="49" spans="1:6" x14ac:dyDescent="0.25">
      <c r="A49" s="148">
        <v>40</v>
      </c>
      <c r="B49" s="154" t="s">
        <v>735</v>
      </c>
      <c r="C49" s="150">
        <v>5800</v>
      </c>
      <c r="D49" s="151" t="s">
        <v>691</v>
      </c>
      <c r="E49" s="152"/>
      <c r="F49" s="153">
        <v>1</v>
      </c>
    </row>
    <row r="50" spans="1:6" x14ac:dyDescent="0.25">
      <c r="A50" s="148">
        <v>41</v>
      </c>
      <c r="B50" s="154" t="s">
        <v>735</v>
      </c>
      <c r="C50" s="150">
        <v>5800</v>
      </c>
      <c r="D50" s="151" t="s">
        <v>692</v>
      </c>
      <c r="E50" s="152"/>
      <c r="F50" s="153">
        <v>1</v>
      </c>
    </row>
    <row r="51" spans="1:6" x14ac:dyDescent="0.25">
      <c r="A51" s="148">
        <v>42</v>
      </c>
      <c r="B51" s="149" t="s">
        <v>736</v>
      </c>
      <c r="C51" s="150"/>
      <c r="E51" s="152"/>
      <c r="F51" s="153"/>
    </row>
    <row r="52" spans="1:6" x14ac:dyDescent="0.25">
      <c r="A52" s="148">
        <v>43</v>
      </c>
      <c r="B52" s="154" t="s">
        <v>694</v>
      </c>
      <c r="C52" s="150">
        <v>2000</v>
      </c>
      <c r="D52" s="151" t="s">
        <v>737</v>
      </c>
      <c r="E52" s="152">
        <v>24</v>
      </c>
      <c r="F52" s="153"/>
    </row>
    <row r="53" spans="1:6" x14ac:dyDescent="0.25">
      <c r="A53" s="148">
        <v>44</v>
      </c>
      <c r="B53" s="154" t="s">
        <v>694</v>
      </c>
      <c r="C53" s="150">
        <v>2000</v>
      </c>
      <c r="D53" s="151" t="s">
        <v>738</v>
      </c>
      <c r="E53" s="152">
        <v>6</v>
      </c>
      <c r="F53" s="153"/>
    </row>
    <row r="54" spans="1:6" x14ac:dyDescent="0.25">
      <c r="A54" s="148">
        <v>45</v>
      </c>
      <c r="B54" s="154" t="s">
        <v>699</v>
      </c>
      <c r="C54" s="150">
        <v>2500</v>
      </c>
      <c r="D54" s="151" t="s">
        <v>737</v>
      </c>
      <c r="E54" s="152"/>
      <c r="F54" s="153">
        <v>1</v>
      </c>
    </row>
    <row r="55" spans="1:6" x14ac:dyDescent="0.25">
      <c r="A55" s="148">
        <v>46</v>
      </c>
      <c r="B55" s="154" t="s">
        <v>739</v>
      </c>
      <c r="C55" s="150">
        <v>2500</v>
      </c>
      <c r="D55" s="151" t="s">
        <v>737</v>
      </c>
      <c r="E55" s="152"/>
      <c r="F55" s="153">
        <v>2</v>
      </c>
    </row>
    <row r="56" spans="1:6" x14ac:dyDescent="0.25">
      <c r="A56" s="148">
        <v>47</v>
      </c>
      <c r="B56" s="154" t="s">
        <v>739</v>
      </c>
      <c r="C56" s="150">
        <v>2500</v>
      </c>
      <c r="D56" s="151" t="s">
        <v>738</v>
      </c>
      <c r="E56" s="152"/>
      <c r="F56" s="153">
        <v>2</v>
      </c>
    </row>
    <row r="57" spans="1:6" x14ac:dyDescent="0.25">
      <c r="A57" s="148">
        <v>48</v>
      </c>
      <c r="B57" s="154" t="s">
        <v>714</v>
      </c>
      <c r="C57" s="150" t="s">
        <v>715</v>
      </c>
      <c r="D57" s="151" t="s">
        <v>740</v>
      </c>
      <c r="E57" s="152"/>
      <c r="F57" s="153">
        <v>1</v>
      </c>
    </row>
    <row r="58" spans="1:6" x14ac:dyDescent="0.25">
      <c r="A58" s="148">
        <v>49</v>
      </c>
      <c r="B58" s="154" t="s">
        <v>721</v>
      </c>
      <c r="C58" s="150">
        <v>5022</v>
      </c>
      <c r="D58" s="151" t="s">
        <v>737</v>
      </c>
      <c r="E58" s="152"/>
      <c r="F58" s="153">
        <v>10</v>
      </c>
    </row>
    <row r="59" spans="1:6" x14ac:dyDescent="0.25">
      <c r="A59" s="148">
        <v>50</v>
      </c>
      <c r="B59" s="154" t="s">
        <v>721</v>
      </c>
      <c r="C59" s="150">
        <v>5022</v>
      </c>
      <c r="D59" s="151" t="s">
        <v>738</v>
      </c>
      <c r="E59" s="152"/>
      <c r="F59" s="153">
        <v>6</v>
      </c>
    </row>
    <row r="60" spans="1:6" x14ac:dyDescent="0.25">
      <c r="A60" s="148">
        <v>51</v>
      </c>
      <c r="B60" s="154" t="s">
        <v>722</v>
      </c>
      <c r="C60" s="150" t="s">
        <v>723</v>
      </c>
      <c r="D60" s="151" t="s">
        <v>737</v>
      </c>
      <c r="E60" s="152"/>
      <c r="F60" s="153">
        <v>2</v>
      </c>
    </row>
    <row r="61" spans="1:6" x14ac:dyDescent="0.25">
      <c r="A61" s="148">
        <v>52</v>
      </c>
      <c r="B61" s="154" t="s">
        <v>722</v>
      </c>
      <c r="C61" s="150" t="s">
        <v>723</v>
      </c>
      <c r="D61" s="151" t="s">
        <v>738</v>
      </c>
      <c r="E61" s="152"/>
      <c r="F61" s="153">
        <v>1</v>
      </c>
    </row>
    <row r="62" spans="1:6" x14ac:dyDescent="0.25">
      <c r="A62" s="148">
        <v>53</v>
      </c>
      <c r="B62" s="154" t="s">
        <v>726</v>
      </c>
      <c r="C62" s="150">
        <v>5600</v>
      </c>
      <c r="D62" s="151" t="s">
        <v>737</v>
      </c>
      <c r="E62" s="152"/>
      <c r="F62" s="153">
        <v>1</v>
      </c>
    </row>
    <row r="63" spans="1:6" x14ac:dyDescent="0.25">
      <c r="A63" s="148">
        <v>54</v>
      </c>
      <c r="B63" s="154" t="s">
        <v>741</v>
      </c>
      <c r="C63" s="150">
        <v>5600</v>
      </c>
      <c r="D63" s="151" t="s">
        <v>738</v>
      </c>
      <c r="E63" s="152"/>
      <c r="F63" s="153">
        <v>1</v>
      </c>
    </row>
    <row r="64" spans="1:6" x14ac:dyDescent="0.25">
      <c r="A64" s="148">
        <v>55</v>
      </c>
      <c r="B64" s="154" t="s">
        <v>742</v>
      </c>
      <c r="C64" s="150" t="s">
        <v>743</v>
      </c>
      <c r="E64" s="152"/>
      <c r="F64" s="153">
        <v>500</v>
      </c>
    </row>
    <row r="65" spans="1:6" x14ac:dyDescent="0.25">
      <c r="A65" s="148">
        <v>56</v>
      </c>
      <c r="B65" s="154" t="s">
        <v>744</v>
      </c>
      <c r="C65" s="150">
        <v>7000</v>
      </c>
      <c r="D65" s="151" t="s">
        <v>745</v>
      </c>
      <c r="E65" s="152"/>
      <c r="F65" s="153">
        <v>2</v>
      </c>
    </row>
    <row r="66" spans="1:6" x14ac:dyDescent="0.25">
      <c r="A66" s="148">
        <v>57</v>
      </c>
      <c r="B66" s="154" t="s">
        <v>746</v>
      </c>
      <c r="C66" s="150" t="s">
        <v>747</v>
      </c>
      <c r="E66" s="152"/>
      <c r="F66" s="153">
        <v>12</v>
      </c>
    </row>
    <row r="67" spans="1:6" x14ac:dyDescent="0.25">
      <c r="A67" s="148">
        <v>58</v>
      </c>
      <c r="B67" s="154"/>
      <c r="C67" s="150"/>
      <c r="E67" s="152"/>
      <c r="F67" s="153"/>
    </row>
    <row r="68" spans="1:6" x14ac:dyDescent="0.25">
      <c r="A68" s="148">
        <v>59</v>
      </c>
      <c r="B68" s="154" t="s">
        <v>748</v>
      </c>
      <c r="C68" s="150"/>
      <c r="E68" s="152"/>
      <c r="F68" s="153">
        <v>3</v>
      </c>
    </row>
    <row r="69" spans="1:6" x14ac:dyDescent="0.25">
      <c r="A69" s="148">
        <v>60</v>
      </c>
      <c r="B69" s="154" t="s">
        <v>749</v>
      </c>
      <c r="C69" s="150"/>
      <c r="E69" s="152"/>
      <c r="F69" s="153">
        <v>2</v>
      </c>
    </row>
    <row r="70" spans="1:6" x14ac:dyDescent="0.25">
      <c r="A70" s="148">
        <v>61</v>
      </c>
      <c r="B70" s="154" t="s">
        <v>750</v>
      </c>
      <c r="C70" s="150"/>
      <c r="E70" s="152">
        <v>12</v>
      </c>
      <c r="F70" s="153">
        <v>12</v>
      </c>
    </row>
    <row r="71" spans="1:6" x14ac:dyDescent="0.25">
      <c r="A71" s="148"/>
      <c r="B71" s="154"/>
      <c r="C71" s="150"/>
      <c r="E71" s="152"/>
      <c r="F71" s="153"/>
    </row>
    <row r="72" spans="1:6" x14ac:dyDescent="0.25">
      <c r="A72" s="155"/>
      <c r="B72" s="156"/>
      <c r="C72" s="157"/>
      <c r="D72" s="158"/>
      <c r="E72" s="159"/>
      <c r="F72" s="159"/>
    </row>
    <row r="73" spans="1:6" x14ac:dyDescent="0.2">
      <c r="A73" s="151"/>
      <c r="B73" s="149" t="s">
        <v>751</v>
      </c>
      <c r="C73" s="160"/>
      <c r="D73" s="161" t="s">
        <v>752</v>
      </c>
      <c r="E73" s="162">
        <v>992</v>
      </c>
      <c r="F73" s="300">
        <v>0</v>
      </c>
    </row>
    <row r="74" spans="1:6" x14ac:dyDescent="0.25">
      <c r="A74" s="151"/>
      <c r="B74" s="163" t="s">
        <v>36</v>
      </c>
      <c r="C74" s="160"/>
      <c r="E74" s="164"/>
      <c r="F74" s="301">
        <v>0</v>
      </c>
    </row>
    <row r="75" spans="1:6" ht="15.75" x14ac:dyDescent="0.25">
      <c r="A75" s="128"/>
      <c r="B75" s="165" t="s">
        <v>37</v>
      </c>
      <c r="C75" s="166"/>
      <c r="D75" s="167"/>
      <c r="E75" s="168"/>
      <c r="F75" s="169">
        <f>SUM(F73:F74)</f>
        <v>0</v>
      </c>
    </row>
    <row r="82" spans="1:1" x14ac:dyDescent="0.25">
      <c r="A82" s="170" t="s">
        <v>551</v>
      </c>
    </row>
    <row r="83" spans="1:1" x14ac:dyDescent="0.25">
      <c r="A83" s="171" t="s">
        <v>753</v>
      </c>
    </row>
    <row r="84" spans="1:1" x14ac:dyDescent="0.25">
      <c r="A84" s="171"/>
    </row>
  </sheetData>
  <sheetProtection selectLockedCells="1" selectUnlockedCells="1"/>
  <printOptions horizontalCentered="1"/>
  <pageMargins left="0.70866141732283472" right="0.70866141732283472" top="0.78740157480314965" bottom="0.78740157480314965" header="0.51181102362204722" footer="0.51181102362204722"/>
  <pageSetup paperSize="9" scale="62" firstPageNumber="0" orientation="portrait" horizontalDpi="300" verticalDpi="300" r:id="rId1"/>
  <headerFooter alignWithMargins="0">
    <oddHeader>&amp;R
KV-2225-G1-2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9"/>
  <sheetViews>
    <sheetView showGridLines="0" zoomScale="115" zoomScaleNormal="115" workbookViewId="0">
      <pane xSplit="6" ySplit="3" topLeftCell="G4" activePane="bottomRight" state="frozen"/>
      <selection activeCell="J66" sqref="J66"/>
      <selection pane="topRight" activeCell="J66" sqref="J66"/>
      <selection pane="bottomLeft" activeCell="J66" sqref="J66"/>
      <selection pane="bottomRight" activeCell="J66" sqref="J66"/>
    </sheetView>
  </sheetViews>
  <sheetFormatPr defaultColWidth="9.140625" defaultRowHeight="12.75" x14ac:dyDescent="0.25"/>
  <cols>
    <col min="1" max="1" width="11.85546875" style="217" customWidth="1"/>
    <col min="2" max="2" width="3.28515625" style="217" customWidth="1"/>
    <col min="3" max="3" width="13.28515625" style="217" customWidth="1"/>
    <col min="4" max="4" width="77.28515625" style="217" customWidth="1"/>
    <col min="5" max="5" width="5.7109375" style="217" customWidth="1"/>
    <col min="6" max="6" width="13.42578125" style="217" bestFit="1" customWidth="1"/>
    <col min="7" max="7" width="11.7109375" style="217" customWidth="1"/>
    <col min="8" max="8" width="18.7109375" style="217" customWidth="1"/>
    <col min="9" max="16384" width="9.140625" style="217"/>
  </cols>
  <sheetData>
    <row r="1" spans="1:8" ht="18" x14ac:dyDescent="0.25">
      <c r="A1" s="243"/>
      <c r="B1" s="244"/>
      <c r="C1" s="244"/>
      <c r="D1" s="244"/>
      <c r="E1" s="244"/>
      <c r="F1" s="244"/>
      <c r="G1" s="409" t="s">
        <v>885</v>
      </c>
      <c r="H1" s="410"/>
    </row>
    <row r="2" spans="1:8" ht="18" x14ac:dyDescent="0.25">
      <c r="A2" s="245" t="str">
        <f>CONCATENATE(Sr!A2,", ",Sr!A21)</f>
        <v>Karlovy Vary, Výměna gravitačního řádu termominerální vody, SO 02 - Sdělovací a napájecí kabely</v>
      </c>
      <c r="B2" s="244"/>
      <c r="C2" s="244"/>
      <c r="D2" s="244"/>
      <c r="E2" s="244"/>
      <c r="F2" s="244"/>
      <c r="G2" s="243"/>
      <c r="H2" s="246">
        <f>SUBTOTAL(9,H4:H129)</f>
        <v>0</v>
      </c>
    </row>
    <row r="3" spans="1:8" ht="24" x14ac:dyDescent="0.25">
      <c r="A3" s="247" t="s">
        <v>886</v>
      </c>
      <c r="B3" s="247" t="s">
        <v>887</v>
      </c>
      <c r="C3" s="247" t="s">
        <v>21</v>
      </c>
      <c r="D3" s="247" t="s">
        <v>888</v>
      </c>
      <c r="E3" s="247" t="s">
        <v>23</v>
      </c>
      <c r="F3" s="247" t="s">
        <v>24</v>
      </c>
      <c r="G3" s="247" t="s">
        <v>889</v>
      </c>
      <c r="H3" s="247" t="s">
        <v>890</v>
      </c>
    </row>
    <row r="4" spans="1:8" ht="15.75" x14ac:dyDescent="0.25">
      <c r="A4" s="216" t="s">
        <v>891</v>
      </c>
    </row>
    <row r="5" spans="1:8" ht="15" x14ac:dyDescent="0.25">
      <c r="A5" s="248"/>
      <c r="B5" s="249" t="s">
        <v>892</v>
      </c>
      <c r="C5" s="250">
        <v>200</v>
      </c>
      <c r="D5" s="250" t="s">
        <v>893</v>
      </c>
      <c r="E5" s="248"/>
      <c r="F5" s="248"/>
    </row>
    <row r="6" spans="1:8" ht="76.5" customHeight="1" x14ac:dyDescent="0.25">
      <c r="A6" s="218" t="s">
        <v>56</v>
      </c>
      <c r="B6" s="218" t="s">
        <v>203</v>
      </c>
      <c r="C6" s="219" t="s">
        <v>894</v>
      </c>
      <c r="D6" s="230" t="s">
        <v>1143</v>
      </c>
      <c r="E6" s="220" t="s">
        <v>256</v>
      </c>
      <c r="F6" s="221">
        <v>5</v>
      </c>
      <c r="G6" s="252">
        <f>'FINAL RNET ostatní'!E52</f>
        <v>0</v>
      </c>
      <c r="H6" s="251">
        <f>ROUND(G6*$F6,2)</f>
        <v>0</v>
      </c>
    </row>
    <row r="7" spans="1:8" ht="136.5" x14ac:dyDescent="0.25">
      <c r="B7" s="222" t="s">
        <v>895</v>
      </c>
      <c r="D7" s="223" t="s">
        <v>896</v>
      </c>
    </row>
    <row r="8" spans="1:8" ht="76.5" customHeight="1" x14ac:dyDescent="0.25">
      <c r="A8" s="218">
        <f>A6+1</f>
        <v>2</v>
      </c>
      <c r="B8" s="218" t="s">
        <v>203</v>
      </c>
      <c r="C8" s="219" t="s">
        <v>1134</v>
      </c>
      <c r="D8" s="230" t="s">
        <v>1142</v>
      </c>
      <c r="E8" s="220" t="s">
        <v>256</v>
      </c>
      <c r="F8" s="221">
        <v>1</v>
      </c>
      <c r="G8" s="252">
        <f>'RNET-5.3 doplění'!E35</f>
        <v>0</v>
      </c>
      <c r="H8" s="251">
        <f>ROUND(G8*$F8,2)</f>
        <v>0</v>
      </c>
    </row>
    <row r="9" spans="1:8" ht="19.5" x14ac:dyDescent="0.25">
      <c r="B9" s="222" t="s">
        <v>895</v>
      </c>
      <c r="D9" s="223" t="s">
        <v>1135</v>
      </c>
    </row>
    <row r="10" spans="1:8" ht="30" customHeight="1" x14ac:dyDescent="0.25">
      <c r="A10" s="248"/>
      <c r="B10" s="249" t="s">
        <v>892</v>
      </c>
      <c r="C10" s="250">
        <v>202</v>
      </c>
      <c r="D10" s="250" t="s">
        <v>898</v>
      </c>
      <c r="E10" s="248"/>
      <c r="F10" s="248"/>
    </row>
    <row r="11" spans="1:8" ht="156" x14ac:dyDescent="0.25">
      <c r="A11" s="218">
        <f>A8+1</f>
        <v>3</v>
      </c>
      <c r="B11" s="218" t="s">
        <v>203</v>
      </c>
      <c r="C11" s="219" t="s">
        <v>899</v>
      </c>
      <c r="D11" s="230" t="s">
        <v>1104</v>
      </c>
      <c r="E11" s="220" t="s">
        <v>256</v>
      </c>
      <c r="F11" s="221">
        <v>3</v>
      </c>
      <c r="G11" s="252">
        <v>0</v>
      </c>
      <c r="H11" s="251">
        <f>ROUND(G11*$F11,2)</f>
        <v>0</v>
      </c>
    </row>
    <row r="12" spans="1:8" x14ac:dyDescent="0.25">
      <c r="B12" s="222" t="s">
        <v>895</v>
      </c>
      <c r="D12" s="223" t="s">
        <v>900</v>
      </c>
    </row>
    <row r="13" spans="1:8" ht="36" x14ac:dyDescent="0.25">
      <c r="A13" s="218">
        <f>A11+1</f>
        <v>4</v>
      </c>
      <c r="B13" s="218" t="s">
        <v>203</v>
      </c>
      <c r="C13" s="219" t="s">
        <v>901</v>
      </c>
      <c r="D13" s="230" t="s">
        <v>1105</v>
      </c>
      <c r="E13" s="220" t="s">
        <v>256</v>
      </c>
      <c r="F13" s="221">
        <v>7</v>
      </c>
      <c r="G13" s="252">
        <v>0</v>
      </c>
      <c r="H13" s="251">
        <f>ROUND(G13*$F13,2)</f>
        <v>0</v>
      </c>
    </row>
    <row r="14" spans="1:8" x14ac:dyDescent="0.25">
      <c r="B14" s="222" t="s">
        <v>895</v>
      </c>
      <c r="D14" s="223" t="s">
        <v>1140</v>
      </c>
    </row>
    <row r="15" spans="1:8" ht="36" x14ac:dyDescent="0.25">
      <c r="A15" s="218">
        <f>A13+1</f>
        <v>5</v>
      </c>
      <c r="B15" s="218" t="s">
        <v>203</v>
      </c>
      <c r="C15" s="219" t="s">
        <v>902</v>
      </c>
      <c r="D15" s="230" t="s">
        <v>1106</v>
      </c>
      <c r="E15" s="220" t="s">
        <v>256</v>
      </c>
      <c r="F15" s="221">
        <v>1</v>
      </c>
      <c r="G15" s="252">
        <v>0</v>
      </c>
      <c r="H15" s="251">
        <f>ROUND(G15*$F15,2)</f>
        <v>0</v>
      </c>
    </row>
    <row r="16" spans="1:8" x14ac:dyDescent="0.25">
      <c r="B16" s="222" t="s">
        <v>895</v>
      </c>
      <c r="D16" s="223" t="s">
        <v>1141</v>
      </c>
    </row>
    <row r="17" spans="1:8" ht="15" x14ac:dyDescent="0.25">
      <c r="A17" s="248"/>
      <c r="B17" s="249" t="s">
        <v>892</v>
      </c>
      <c r="C17" s="250">
        <v>203</v>
      </c>
      <c r="D17" s="250" t="s">
        <v>903</v>
      </c>
      <c r="E17" s="248"/>
      <c r="F17" s="248"/>
    </row>
    <row r="18" spans="1:8" x14ac:dyDescent="0.25">
      <c r="A18" s="218">
        <f>A15+1</f>
        <v>6</v>
      </c>
      <c r="B18" s="218" t="s">
        <v>203</v>
      </c>
      <c r="C18" s="219" t="s">
        <v>904</v>
      </c>
      <c r="D18" s="224" t="s">
        <v>905</v>
      </c>
      <c r="E18" s="220" t="s">
        <v>71</v>
      </c>
      <c r="F18" s="221">
        <v>50</v>
      </c>
      <c r="G18" s="252">
        <v>0</v>
      </c>
      <c r="H18" s="251">
        <f>ROUND(G18*$F18,2)</f>
        <v>0</v>
      </c>
    </row>
    <row r="19" spans="1:8" x14ac:dyDescent="0.25">
      <c r="B19" s="222" t="s">
        <v>895</v>
      </c>
      <c r="D19" s="223" t="s">
        <v>905</v>
      </c>
    </row>
    <row r="20" spans="1:8" x14ac:dyDescent="0.25">
      <c r="A20" s="218">
        <f>A18+1</f>
        <v>7</v>
      </c>
      <c r="B20" s="218" t="s">
        <v>203</v>
      </c>
      <c r="C20" s="219" t="s">
        <v>906</v>
      </c>
      <c r="D20" s="224" t="s">
        <v>907</v>
      </c>
      <c r="E20" s="220" t="s">
        <v>71</v>
      </c>
      <c r="F20" s="221">
        <v>440</v>
      </c>
      <c r="G20" s="252">
        <v>0</v>
      </c>
      <c r="H20" s="251">
        <f>ROUND(G20*$F20,2)</f>
        <v>0</v>
      </c>
    </row>
    <row r="21" spans="1:8" x14ac:dyDescent="0.25">
      <c r="B21" s="222" t="s">
        <v>895</v>
      </c>
      <c r="D21" s="223" t="s">
        <v>907</v>
      </c>
    </row>
    <row r="22" spans="1:8" ht="24" x14ac:dyDescent="0.25">
      <c r="A22" s="218">
        <f>A20+1</f>
        <v>8</v>
      </c>
      <c r="B22" s="218" t="s">
        <v>203</v>
      </c>
      <c r="C22" s="219" t="s">
        <v>908</v>
      </c>
      <c r="D22" s="230" t="s">
        <v>1107</v>
      </c>
      <c r="E22" s="220" t="s">
        <v>71</v>
      </c>
      <c r="F22" s="221">
        <v>40</v>
      </c>
      <c r="G22" s="252">
        <v>0</v>
      </c>
      <c r="H22" s="251">
        <f>ROUND(G22*$F22,2)</f>
        <v>0</v>
      </c>
    </row>
    <row r="23" spans="1:8" x14ac:dyDescent="0.25">
      <c r="B23" s="222" t="s">
        <v>895</v>
      </c>
      <c r="D23" s="223" t="s">
        <v>909</v>
      </c>
    </row>
    <row r="24" spans="1:8" ht="24" x14ac:dyDescent="0.25">
      <c r="A24" s="218">
        <f>A22+1</f>
        <v>9</v>
      </c>
      <c r="B24" s="218" t="s">
        <v>203</v>
      </c>
      <c r="C24" s="219" t="s">
        <v>910</v>
      </c>
      <c r="D24" s="230" t="s">
        <v>1108</v>
      </c>
      <c r="E24" s="220" t="s">
        <v>71</v>
      </c>
      <c r="F24" s="221">
        <v>450</v>
      </c>
      <c r="G24" s="252">
        <v>0</v>
      </c>
      <c r="H24" s="251">
        <f>ROUND(G24*$F24,2)</f>
        <v>0</v>
      </c>
    </row>
    <row r="25" spans="1:8" x14ac:dyDescent="0.25">
      <c r="B25" s="222" t="s">
        <v>895</v>
      </c>
      <c r="D25" s="223" t="s">
        <v>911</v>
      </c>
    </row>
    <row r="26" spans="1:8" x14ac:dyDescent="0.25">
      <c r="A26" s="218">
        <f>A24+1</f>
        <v>10</v>
      </c>
      <c r="B26" s="218" t="s">
        <v>203</v>
      </c>
      <c r="C26" s="219" t="s">
        <v>912</v>
      </c>
      <c r="D26" s="224" t="s">
        <v>913</v>
      </c>
      <c r="E26" s="220" t="s">
        <v>71</v>
      </c>
      <c r="F26" s="221">
        <v>60</v>
      </c>
      <c r="G26" s="252">
        <v>0</v>
      </c>
      <c r="H26" s="251">
        <f>ROUND(G26*$F26,2)</f>
        <v>0</v>
      </c>
    </row>
    <row r="27" spans="1:8" x14ac:dyDescent="0.25">
      <c r="B27" s="222" t="s">
        <v>895</v>
      </c>
      <c r="D27" s="223" t="s">
        <v>913</v>
      </c>
    </row>
    <row r="28" spans="1:8" x14ac:dyDescent="0.25">
      <c r="A28" s="218">
        <f t="shared" ref="A28" si="0">A26+1</f>
        <v>11</v>
      </c>
      <c r="B28" s="218" t="s">
        <v>203</v>
      </c>
      <c r="C28" s="219" t="s">
        <v>904</v>
      </c>
      <c r="D28" s="224" t="s">
        <v>914</v>
      </c>
      <c r="E28" s="220" t="s">
        <v>71</v>
      </c>
      <c r="F28" s="221">
        <v>700</v>
      </c>
      <c r="G28" s="252">
        <v>0</v>
      </c>
      <c r="H28" s="251">
        <f>ROUND(G28*$F28,2)</f>
        <v>0</v>
      </c>
    </row>
    <row r="29" spans="1:8" x14ac:dyDescent="0.25">
      <c r="B29" s="222" t="s">
        <v>895</v>
      </c>
      <c r="D29" s="223" t="s">
        <v>914</v>
      </c>
    </row>
    <row r="30" spans="1:8" x14ac:dyDescent="0.25">
      <c r="A30" s="218">
        <f t="shared" ref="A30" si="1">A28+1</f>
        <v>12</v>
      </c>
      <c r="B30" s="218" t="s">
        <v>203</v>
      </c>
      <c r="C30" s="219" t="s">
        <v>915</v>
      </c>
      <c r="D30" s="230" t="s">
        <v>1109</v>
      </c>
      <c r="E30" s="220" t="s">
        <v>71</v>
      </c>
      <c r="F30" s="221">
        <v>50</v>
      </c>
      <c r="G30" s="252">
        <v>0</v>
      </c>
      <c r="H30" s="251">
        <f>ROUND(G30*$F30,2)</f>
        <v>0</v>
      </c>
    </row>
    <row r="31" spans="1:8" x14ac:dyDescent="0.25">
      <c r="B31" s="222" t="s">
        <v>895</v>
      </c>
      <c r="D31" s="223" t="s">
        <v>916</v>
      </c>
    </row>
    <row r="32" spans="1:8" x14ac:dyDescent="0.25">
      <c r="A32" s="218">
        <f t="shared" ref="A32" si="2">A30+1</f>
        <v>13</v>
      </c>
      <c r="B32" s="218" t="s">
        <v>203</v>
      </c>
      <c r="C32" s="219" t="s">
        <v>917</v>
      </c>
      <c r="D32" s="230" t="s">
        <v>1110</v>
      </c>
      <c r="E32" s="220" t="s">
        <v>71</v>
      </c>
      <c r="F32" s="221">
        <v>100</v>
      </c>
      <c r="G32" s="252">
        <v>0</v>
      </c>
      <c r="H32" s="251">
        <f>ROUND(G32*$F32,2)</f>
        <v>0</v>
      </c>
    </row>
    <row r="33" spans="1:8" x14ac:dyDescent="0.25">
      <c r="B33" s="222" t="s">
        <v>895</v>
      </c>
      <c r="D33" s="223" t="s">
        <v>918</v>
      </c>
    </row>
    <row r="34" spans="1:8" x14ac:dyDescent="0.25">
      <c r="A34" s="218">
        <f t="shared" ref="A34" si="3">A32+1</f>
        <v>14</v>
      </c>
      <c r="B34" s="218" t="s">
        <v>203</v>
      </c>
      <c r="C34" s="219" t="s">
        <v>919</v>
      </c>
      <c r="D34" s="230" t="s">
        <v>1111</v>
      </c>
      <c r="E34" s="220" t="s">
        <v>71</v>
      </c>
      <c r="F34" s="221">
        <v>50</v>
      </c>
      <c r="G34" s="252">
        <v>0</v>
      </c>
      <c r="H34" s="251">
        <f>ROUND(G34*$F34,2)</f>
        <v>0</v>
      </c>
    </row>
    <row r="35" spans="1:8" x14ac:dyDescent="0.25">
      <c r="B35" s="222" t="s">
        <v>895</v>
      </c>
      <c r="D35" s="223" t="s">
        <v>920</v>
      </c>
    </row>
    <row r="36" spans="1:8" x14ac:dyDescent="0.25">
      <c r="A36" s="218">
        <f t="shared" ref="A36" si="4">A34+1</f>
        <v>15</v>
      </c>
      <c r="B36" s="218" t="s">
        <v>203</v>
      </c>
      <c r="C36" s="219" t="s">
        <v>921</v>
      </c>
      <c r="D36" s="224" t="s">
        <v>1139</v>
      </c>
      <c r="E36" s="220" t="s">
        <v>256</v>
      </c>
      <c r="F36" s="221">
        <v>90</v>
      </c>
      <c r="G36" s="252">
        <v>0</v>
      </c>
      <c r="H36" s="251">
        <f>ROUND(G36*$F36,2)</f>
        <v>0</v>
      </c>
    </row>
    <row r="37" spans="1:8" x14ac:dyDescent="0.25">
      <c r="B37" s="222" t="s">
        <v>895</v>
      </c>
      <c r="D37" s="223" t="s">
        <v>922</v>
      </c>
    </row>
    <row r="38" spans="1:8" x14ac:dyDescent="0.25">
      <c r="A38" s="218">
        <f t="shared" ref="A38" si="5">A36+1</f>
        <v>16</v>
      </c>
      <c r="B38" s="218" t="s">
        <v>203</v>
      </c>
      <c r="C38" s="219" t="s">
        <v>923</v>
      </c>
      <c r="D38" s="224" t="s">
        <v>924</v>
      </c>
      <c r="E38" s="220" t="s">
        <v>256</v>
      </c>
      <c r="F38" s="221">
        <v>20</v>
      </c>
      <c r="G38" s="252">
        <v>0</v>
      </c>
      <c r="H38" s="251">
        <f>ROUND(G38*$F38,2)</f>
        <v>0</v>
      </c>
    </row>
    <row r="39" spans="1:8" x14ac:dyDescent="0.25">
      <c r="B39" s="222" t="s">
        <v>895</v>
      </c>
      <c r="D39" s="223" t="s">
        <v>925</v>
      </c>
    </row>
    <row r="40" spans="1:8" x14ac:dyDescent="0.25">
      <c r="A40" s="218">
        <f t="shared" ref="A40" si="6">A38+1</f>
        <v>17</v>
      </c>
      <c r="B40" s="218" t="s">
        <v>203</v>
      </c>
      <c r="C40" s="219" t="s">
        <v>926</v>
      </c>
      <c r="D40" s="224" t="s">
        <v>927</v>
      </c>
      <c r="E40" s="220" t="s">
        <v>928</v>
      </c>
      <c r="F40" s="221">
        <v>1</v>
      </c>
      <c r="G40" s="252">
        <v>0</v>
      </c>
      <c r="H40" s="251">
        <f>ROUND(G40*$F40,2)</f>
        <v>0</v>
      </c>
    </row>
    <row r="41" spans="1:8" x14ac:dyDescent="0.25">
      <c r="B41" s="222" t="s">
        <v>895</v>
      </c>
      <c r="D41" s="223" t="s">
        <v>927</v>
      </c>
    </row>
    <row r="42" spans="1:8" x14ac:dyDescent="0.25">
      <c r="A42" s="218">
        <f t="shared" ref="A42" si="7">A40+1</f>
        <v>18</v>
      </c>
      <c r="B42" s="218" t="s">
        <v>203</v>
      </c>
      <c r="C42" s="219" t="s">
        <v>929</v>
      </c>
      <c r="D42" s="224" t="s">
        <v>930</v>
      </c>
      <c r="E42" s="220" t="s">
        <v>928</v>
      </c>
      <c r="F42" s="221">
        <v>1</v>
      </c>
      <c r="G42" s="252">
        <v>0</v>
      </c>
      <c r="H42" s="251">
        <f>ROUND(G42*$F42,2)</f>
        <v>0</v>
      </c>
    </row>
    <row r="43" spans="1:8" x14ac:dyDescent="0.25">
      <c r="B43" s="222" t="s">
        <v>895</v>
      </c>
      <c r="D43" s="223" t="s">
        <v>930</v>
      </c>
    </row>
    <row r="44" spans="1:8" x14ac:dyDescent="0.25">
      <c r="B44" s="222"/>
      <c r="D44" s="223"/>
    </row>
    <row r="45" spans="1:8" ht="15" x14ac:dyDescent="0.25">
      <c r="A45" s="248"/>
      <c r="B45" s="249" t="s">
        <v>892</v>
      </c>
      <c r="C45" s="250">
        <v>204</v>
      </c>
      <c r="D45" s="250" t="s">
        <v>931</v>
      </c>
      <c r="E45" s="248"/>
      <c r="F45" s="248"/>
    </row>
    <row r="46" spans="1:8" x14ac:dyDescent="0.25">
      <c r="A46" s="225">
        <f>A42+1</f>
        <v>19</v>
      </c>
      <c r="B46" s="225" t="s">
        <v>932</v>
      </c>
      <c r="C46" s="226" t="s">
        <v>933</v>
      </c>
      <c r="D46" s="227" t="s">
        <v>934</v>
      </c>
      <c r="E46" s="228" t="s">
        <v>928</v>
      </c>
      <c r="F46" s="229">
        <v>6</v>
      </c>
      <c r="G46" s="252">
        <v>0</v>
      </c>
      <c r="H46" s="251">
        <f>ROUND(G46*$F46,2)</f>
        <v>0</v>
      </c>
    </row>
    <row r="47" spans="1:8" x14ac:dyDescent="0.25">
      <c r="B47" s="222" t="s">
        <v>895</v>
      </c>
      <c r="D47" s="223" t="s">
        <v>935</v>
      </c>
    </row>
    <row r="48" spans="1:8" x14ac:dyDescent="0.25">
      <c r="A48" s="225">
        <f>A46+1</f>
        <v>20</v>
      </c>
      <c r="B48" s="225" t="s">
        <v>932</v>
      </c>
      <c r="C48" s="226" t="s">
        <v>936</v>
      </c>
      <c r="D48" s="227" t="s">
        <v>937</v>
      </c>
      <c r="E48" s="228" t="s">
        <v>256</v>
      </c>
      <c r="F48" s="229">
        <v>20</v>
      </c>
      <c r="G48" s="252">
        <v>0</v>
      </c>
      <c r="H48" s="251">
        <f>ROUND(G48*$F48,2)</f>
        <v>0</v>
      </c>
    </row>
    <row r="49" spans="1:8" x14ac:dyDescent="0.25">
      <c r="B49" s="222" t="s">
        <v>895</v>
      </c>
      <c r="D49" s="223" t="s">
        <v>937</v>
      </c>
    </row>
    <row r="50" spans="1:8" x14ac:dyDescent="0.25">
      <c r="A50" s="225">
        <f t="shared" ref="A50" si="8">A48+1</f>
        <v>21</v>
      </c>
      <c r="B50" s="225" t="s">
        <v>932</v>
      </c>
      <c r="C50" s="226" t="s">
        <v>938</v>
      </c>
      <c r="D50" s="227" t="s">
        <v>939</v>
      </c>
      <c r="E50" s="228" t="s">
        <v>71</v>
      </c>
      <c r="F50" s="229">
        <v>300</v>
      </c>
      <c r="G50" s="252">
        <v>0</v>
      </c>
      <c r="H50" s="251">
        <f>ROUND(G50*$F50,2)</f>
        <v>0</v>
      </c>
    </row>
    <row r="51" spans="1:8" x14ac:dyDescent="0.25">
      <c r="B51" s="222" t="s">
        <v>895</v>
      </c>
      <c r="D51" s="223" t="s">
        <v>939</v>
      </c>
    </row>
    <row r="52" spans="1:8" x14ac:dyDescent="0.25">
      <c r="A52" s="225">
        <f t="shared" ref="A52" si="9">A50+1</f>
        <v>22</v>
      </c>
      <c r="B52" s="225" t="s">
        <v>932</v>
      </c>
      <c r="C52" s="226" t="s">
        <v>940</v>
      </c>
      <c r="D52" s="227" t="s">
        <v>941</v>
      </c>
      <c r="E52" s="228" t="s">
        <v>71</v>
      </c>
      <c r="F52" s="229">
        <v>200</v>
      </c>
      <c r="G52" s="252">
        <v>0</v>
      </c>
      <c r="H52" s="251">
        <f>ROUND(G52*$F52,2)</f>
        <v>0</v>
      </c>
    </row>
    <row r="53" spans="1:8" x14ac:dyDescent="0.25">
      <c r="B53" s="222" t="s">
        <v>895</v>
      </c>
      <c r="D53" s="223" t="s">
        <v>941</v>
      </c>
    </row>
    <row r="54" spans="1:8" x14ac:dyDescent="0.25">
      <c r="A54" s="225">
        <f t="shared" ref="A54" si="10">A52+1</f>
        <v>23</v>
      </c>
      <c r="B54" s="225" t="s">
        <v>932</v>
      </c>
      <c r="C54" s="226" t="s">
        <v>942</v>
      </c>
      <c r="D54" s="227" t="s">
        <v>943</v>
      </c>
      <c r="E54" s="228" t="s">
        <v>71</v>
      </c>
      <c r="F54" s="229">
        <v>1680</v>
      </c>
      <c r="G54" s="252">
        <v>0</v>
      </c>
      <c r="H54" s="251">
        <f>ROUND(G54*$F54,2)</f>
        <v>0</v>
      </c>
    </row>
    <row r="55" spans="1:8" x14ac:dyDescent="0.25">
      <c r="B55" s="222" t="s">
        <v>895</v>
      </c>
      <c r="D55" s="223" t="s">
        <v>943</v>
      </c>
    </row>
    <row r="56" spans="1:8" x14ac:dyDescent="0.25">
      <c r="A56" s="225">
        <f t="shared" ref="A56" si="11">A54+1</f>
        <v>24</v>
      </c>
      <c r="B56" s="225" t="s">
        <v>932</v>
      </c>
      <c r="C56" s="226" t="s">
        <v>944</v>
      </c>
      <c r="D56" s="227" t="s">
        <v>945</v>
      </c>
      <c r="E56" s="228" t="s">
        <v>71</v>
      </c>
      <c r="F56" s="229">
        <v>450</v>
      </c>
      <c r="G56" s="252">
        <v>0</v>
      </c>
      <c r="H56" s="251">
        <f>ROUND(G56*$F56,2)</f>
        <v>0</v>
      </c>
    </row>
    <row r="57" spans="1:8" x14ac:dyDescent="0.25">
      <c r="B57" s="222" t="s">
        <v>895</v>
      </c>
      <c r="D57" s="223" t="s">
        <v>946</v>
      </c>
    </row>
    <row r="58" spans="1:8" x14ac:dyDescent="0.25">
      <c r="A58" s="225">
        <f t="shared" ref="A58" si="12">A56+1</f>
        <v>25</v>
      </c>
      <c r="B58" s="225" t="s">
        <v>932</v>
      </c>
      <c r="C58" s="226" t="s">
        <v>947</v>
      </c>
      <c r="D58" s="227" t="s">
        <v>948</v>
      </c>
      <c r="E58" s="228" t="s">
        <v>256</v>
      </c>
      <c r="F58" s="229">
        <v>20</v>
      </c>
      <c r="G58" s="252">
        <v>0</v>
      </c>
      <c r="H58" s="251">
        <f>ROUND(G58*$F58,2)</f>
        <v>0</v>
      </c>
    </row>
    <row r="59" spans="1:8" x14ac:dyDescent="0.25">
      <c r="B59" s="222" t="s">
        <v>895</v>
      </c>
      <c r="D59" s="223" t="s">
        <v>948</v>
      </c>
    </row>
    <row r="60" spans="1:8" x14ac:dyDescent="0.25">
      <c r="A60" s="225">
        <f t="shared" ref="A60" si="13">A58+1</f>
        <v>26</v>
      </c>
      <c r="B60" s="225" t="s">
        <v>932</v>
      </c>
      <c r="C60" s="226" t="s">
        <v>949</v>
      </c>
      <c r="D60" s="227" t="s">
        <v>950</v>
      </c>
      <c r="E60" s="228" t="s">
        <v>951</v>
      </c>
      <c r="F60" s="229">
        <v>80</v>
      </c>
      <c r="G60" s="252">
        <v>0</v>
      </c>
      <c r="H60" s="251">
        <f>ROUND(G60*$F60,2)</f>
        <v>0</v>
      </c>
    </row>
    <row r="61" spans="1:8" x14ac:dyDescent="0.25">
      <c r="B61" s="222" t="s">
        <v>895</v>
      </c>
      <c r="D61" s="223" t="s">
        <v>950</v>
      </c>
    </row>
    <row r="62" spans="1:8" x14ac:dyDescent="0.25">
      <c r="A62" s="225">
        <f t="shared" ref="A62" si="14">A60+1</f>
        <v>27</v>
      </c>
      <c r="B62" s="225" t="s">
        <v>932</v>
      </c>
      <c r="C62" s="226" t="s">
        <v>952</v>
      </c>
      <c r="D62" s="227" t="s">
        <v>953</v>
      </c>
      <c r="E62" s="228" t="s">
        <v>256</v>
      </c>
      <c r="F62" s="229">
        <v>84</v>
      </c>
      <c r="G62" s="252">
        <v>0</v>
      </c>
      <c r="H62" s="251">
        <f>ROUND(G62*$F62,2)</f>
        <v>0</v>
      </c>
    </row>
    <row r="63" spans="1:8" x14ac:dyDescent="0.25">
      <c r="B63" s="222" t="s">
        <v>895</v>
      </c>
      <c r="D63" s="223" t="s">
        <v>953</v>
      </c>
    </row>
    <row r="64" spans="1:8" ht="24" x14ac:dyDescent="0.25">
      <c r="A64" s="225">
        <f t="shared" ref="A64" si="15">A62+1</f>
        <v>28</v>
      </c>
      <c r="B64" s="225" t="s">
        <v>932</v>
      </c>
      <c r="C64" s="226" t="s">
        <v>954</v>
      </c>
      <c r="D64" s="227" t="s">
        <v>955</v>
      </c>
      <c r="E64" s="228" t="s">
        <v>956</v>
      </c>
      <c r="F64" s="229">
        <v>30</v>
      </c>
      <c r="G64" s="252">
        <v>0</v>
      </c>
      <c r="H64" s="251">
        <f>ROUND(G64*$F64,2)</f>
        <v>0</v>
      </c>
    </row>
    <row r="65" spans="1:8" x14ac:dyDescent="0.25">
      <c r="B65" s="222" t="s">
        <v>895</v>
      </c>
      <c r="D65" s="223" t="s">
        <v>955</v>
      </c>
    </row>
    <row r="66" spans="1:8" x14ac:dyDescent="0.25">
      <c r="A66" s="225">
        <f t="shared" ref="A66" si="16">A64+1</f>
        <v>29</v>
      </c>
      <c r="B66" s="225" t="s">
        <v>932</v>
      </c>
      <c r="C66" s="226" t="s">
        <v>957</v>
      </c>
      <c r="D66" s="227" t="s">
        <v>958</v>
      </c>
      <c r="E66" s="228" t="s">
        <v>928</v>
      </c>
      <c r="F66" s="229">
        <v>1</v>
      </c>
      <c r="G66" s="252">
        <v>0</v>
      </c>
      <c r="H66" s="251">
        <f>ROUND(G66*$F66,2)</f>
        <v>0</v>
      </c>
    </row>
    <row r="67" spans="1:8" x14ac:dyDescent="0.25">
      <c r="B67" s="222" t="s">
        <v>895</v>
      </c>
      <c r="D67" s="223" t="s">
        <v>958</v>
      </c>
    </row>
    <row r="68" spans="1:8" ht="27" customHeight="1" x14ac:dyDescent="0.25">
      <c r="A68" s="248"/>
      <c r="B68" s="249" t="s">
        <v>892</v>
      </c>
      <c r="C68" s="250">
        <v>206</v>
      </c>
      <c r="D68" s="250" t="s">
        <v>959</v>
      </c>
      <c r="E68" s="248"/>
      <c r="F68" s="248"/>
    </row>
    <row r="69" spans="1:8" x14ac:dyDescent="0.25">
      <c r="A69" s="225">
        <f>A66+1</f>
        <v>30</v>
      </c>
      <c r="B69" s="225" t="s">
        <v>932</v>
      </c>
      <c r="C69" s="226" t="s">
        <v>960</v>
      </c>
      <c r="D69" s="227" t="s">
        <v>961</v>
      </c>
      <c r="E69" s="228" t="s">
        <v>951</v>
      </c>
      <c r="F69" s="229">
        <v>16</v>
      </c>
      <c r="G69" s="252">
        <v>0</v>
      </c>
      <c r="H69" s="251">
        <f>ROUND(G69*$F69,2)</f>
        <v>0</v>
      </c>
    </row>
    <row r="70" spans="1:8" x14ac:dyDescent="0.25">
      <c r="B70" s="222" t="s">
        <v>895</v>
      </c>
      <c r="D70" s="223" t="s">
        <v>961</v>
      </c>
    </row>
    <row r="71" spans="1:8" ht="27.75" customHeight="1" x14ac:dyDescent="0.25">
      <c r="A71" s="248"/>
      <c r="B71" s="249" t="s">
        <v>892</v>
      </c>
      <c r="C71" s="250">
        <v>207</v>
      </c>
      <c r="D71" s="250" t="s">
        <v>962</v>
      </c>
      <c r="E71" s="248"/>
      <c r="F71" s="248"/>
    </row>
    <row r="72" spans="1:8" x14ac:dyDescent="0.25">
      <c r="A72" s="225">
        <f>A69+1</f>
        <v>31</v>
      </c>
      <c r="B72" s="225" t="s">
        <v>932</v>
      </c>
      <c r="C72" s="226" t="s">
        <v>963</v>
      </c>
      <c r="D72" s="227" t="s">
        <v>964</v>
      </c>
      <c r="E72" s="228" t="s">
        <v>951</v>
      </c>
      <c r="F72" s="229">
        <v>120</v>
      </c>
      <c r="G72" s="252">
        <v>0</v>
      </c>
      <c r="H72" s="251">
        <f>ROUND(G72*$F72,2)</f>
        <v>0</v>
      </c>
    </row>
    <row r="73" spans="1:8" x14ac:dyDescent="0.25">
      <c r="B73" s="222" t="s">
        <v>895</v>
      </c>
      <c r="D73" s="223" t="s">
        <v>964</v>
      </c>
    </row>
    <row r="74" spans="1:8" x14ac:dyDescent="0.25">
      <c r="A74" s="225">
        <f>A72+1</f>
        <v>32</v>
      </c>
      <c r="B74" s="225" t="s">
        <v>932</v>
      </c>
      <c r="C74" s="226" t="s">
        <v>965</v>
      </c>
      <c r="D74" s="227" t="s">
        <v>966</v>
      </c>
      <c r="E74" s="228" t="s">
        <v>951</v>
      </c>
      <c r="F74" s="229">
        <v>40</v>
      </c>
      <c r="G74" s="252">
        <v>0</v>
      </c>
      <c r="H74" s="251">
        <f>ROUND(G74*$F74,2)</f>
        <v>0</v>
      </c>
    </row>
    <row r="75" spans="1:8" x14ac:dyDescent="0.25">
      <c r="B75" s="222" t="s">
        <v>895</v>
      </c>
      <c r="D75" s="223" t="s">
        <v>966</v>
      </c>
    </row>
    <row r="76" spans="1:8" x14ac:dyDescent="0.25">
      <c r="A76" s="225">
        <f t="shared" ref="A76" si="17">A74+1</f>
        <v>33</v>
      </c>
      <c r="B76" s="225" t="s">
        <v>932</v>
      </c>
      <c r="C76" s="226" t="s">
        <v>967</v>
      </c>
      <c r="D76" s="227" t="s">
        <v>968</v>
      </c>
      <c r="E76" s="228" t="s">
        <v>951</v>
      </c>
      <c r="F76" s="229">
        <v>14</v>
      </c>
      <c r="G76" s="252">
        <v>0</v>
      </c>
      <c r="H76" s="251">
        <f>ROUND(G76*$F76,2)</f>
        <v>0</v>
      </c>
    </row>
    <row r="77" spans="1:8" x14ac:dyDescent="0.25">
      <c r="B77" s="222" t="s">
        <v>895</v>
      </c>
      <c r="D77" s="223" t="s">
        <v>968</v>
      </c>
    </row>
    <row r="78" spans="1:8" x14ac:dyDescent="0.25">
      <c r="A78" s="225">
        <f t="shared" ref="A78" si="18">A76+1</f>
        <v>34</v>
      </c>
      <c r="B78" s="225" t="s">
        <v>932</v>
      </c>
      <c r="C78" s="226" t="s">
        <v>969</v>
      </c>
      <c r="D78" s="227" t="s">
        <v>970</v>
      </c>
      <c r="E78" s="228" t="s">
        <v>951</v>
      </c>
      <c r="F78" s="229">
        <v>16</v>
      </c>
      <c r="G78" s="252">
        <v>0</v>
      </c>
      <c r="H78" s="251">
        <f>ROUND(G78*$F78,2)</f>
        <v>0</v>
      </c>
    </row>
    <row r="79" spans="1:8" x14ac:dyDescent="0.25">
      <c r="B79" s="222" t="s">
        <v>895</v>
      </c>
      <c r="D79" s="223" t="s">
        <v>970</v>
      </c>
    </row>
    <row r="80" spans="1:8" x14ac:dyDescent="0.25">
      <c r="A80" s="225">
        <f t="shared" ref="A80" si="19">A78+1</f>
        <v>35</v>
      </c>
      <c r="B80" s="225" t="s">
        <v>932</v>
      </c>
      <c r="C80" s="226" t="s">
        <v>971</v>
      </c>
      <c r="D80" s="227" t="s">
        <v>972</v>
      </c>
      <c r="E80" s="228" t="s">
        <v>951</v>
      </c>
      <c r="F80" s="229">
        <v>30</v>
      </c>
      <c r="G80" s="252">
        <v>0</v>
      </c>
      <c r="H80" s="251">
        <f>ROUND(G80*$F80,2)</f>
        <v>0</v>
      </c>
    </row>
    <row r="81" spans="1:8" x14ac:dyDescent="0.25">
      <c r="B81" s="222" t="s">
        <v>895</v>
      </c>
      <c r="D81" s="223" t="s">
        <v>972</v>
      </c>
    </row>
    <row r="82" spans="1:8" x14ac:dyDescent="0.25">
      <c r="A82" s="225">
        <f t="shared" ref="A82" si="20">A80+1</f>
        <v>36</v>
      </c>
      <c r="B82" s="225" t="s">
        <v>932</v>
      </c>
      <c r="C82" s="226" t="s">
        <v>973</v>
      </c>
      <c r="D82" s="227" t="s">
        <v>974</v>
      </c>
      <c r="E82" s="228" t="s">
        <v>975</v>
      </c>
      <c r="F82" s="229">
        <v>1</v>
      </c>
      <c r="G82" s="252">
        <v>0</v>
      </c>
      <c r="H82" s="251">
        <f>ROUND(G82*$F82,2)</f>
        <v>0</v>
      </c>
    </row>
    <row r="83" spans="1:8" x14ac:dyDescent="0.25">
      <c r="B83" s="222" t="s">
        <v>895</v>
      </c>
      <c r="D83" s="223" t="s">
        <v>974</v>
      </c>
    </row>
    <row r="84" spans="1:8" ht="29.25" customHeight="1" x14ac:dyDescent="0.25">
      <c r="B84" s="222"/>
      <c r="C84" s="250">
        <v>208</v>
      </c>
      <c r="D84" s="250" t="s">
        <v>976</v>
      </c>
    </row>
    <row r="85" spans="1:8" ht="60" x14ac:dyDescent="0.25">
      <c r="A85" s="218">
        <f>A82+1</f>
        <v>37</v>
      </c>
      <c r="B85" s="218" t="s">
        <v>203</v>
      </c>
      <c r="C85" s="219" t="s">
        <v>73</v>
      </c>
      <c r="D85" s="230" t="s">
        <v>1112</v>
      </c>
      <c r="E85" s="220" t="s">
        <v>71</v>
      </c>
      <c r="F85" s="221">
        <v>2180</v>
      </c>
      <c r="G85" s="252">
        <v>0</v>
      </c>
      <c r="H85" s="251">
        <f>ROUND(G85*$F85,2)</f>
        <v>0</v>
      </c>
    </row>
    <row r="86" spans="1:8" x14ac:dyDescent="0.25">
      <c r="B86" s="222" t="s">
        <v>895</v>
      </c>
      <c r="D86" s="223" t="s">
        <v>1137</v>
      </c>
    </row>
    <row r="87" spans="1:8" ht="60" x14ac:dyDescent="0.25">
      <c r="A87" s="218">
        <f>A85+1</f>
        <v>38</v>
      </c>
      <c r="B87" s="218" t="s">
        <v>203</v>
      </c>
      <c r="C87" s="219" t="s">
        <v>80</v>
      </c>
      <c r="D87" s="230" t="s">
        <v>1113</v>
      </c>
      <c r="E87" s="220" t="s">
        <v>71</v>
      </c>
      <c r="F87" s="221">
        <v>190</v>
      </c>
      <c r="G87" s="252">
        <v>0</v>
      </c>
      <c r="H87" s="251">
        <f>ROUND(G87*$F87,2)</f>
        <v>0</v>
      </c>
    </row>
    <row r="88" spans="1:8" x14ac:dyDescent="0.25">
      <c r="B88" s="222" t="s">
        <v>895</v>
      </c>
      <c r="D88" s="223" t="s">
        <v>977</v>
      </c>
    </row>
    <row r="89" spans="1:8" ht="60" x14ac:dyDescent="0.25">
      <c r="A89" s="218">
        <f>A87+1</f>
        <v>39</v>
      </c>
      <c r="B89" s="218" t="s">
        <v>203</v>
      </c>
      <c r="C89" s="219" t="s">
        <v>80</v>
      </c>
      <c r="D89" s="230" t="s">
        <v>1114</v>
      </c>
      <c r="E89" s="220" t="s">
        <v>71</v>
      </c>
      <c r="F89" s="221">
        <v>400</v>
      </c>
      <c r="G89" s="252">
        <v>0</v>
      </c>
      <c r="H89" s="251">
        <f>ROUND(G89*$F89,2)</f>
        <v>0</v>
      </c>
    </row>
    <row r="90" spans="1:8" s="232" customFormat="1" ht="15" x14ac:dyDescent="0.25">
      <c r="B90" s="222" t="s">
        <v>895</v>
      </c>
      <c r="D90" s="223" t="s">
        <v>1138</v>
      </c>
    </row>
    <row r="91" spans="1:8" x14ac:dyDescent="0.25">
      <c r="A91" s="218">
        <f>A89+1</f>
        <v>40</v>
      </c>
      <c r="B91" s="218" t="s">
        <v>203</v>
      </c>
      <c r="C91" s="219" t="s">
        <v>80</v>
      </c>
      <c r="D91" s="230" t="s">
        <v>1115</v>
      </c>
      <c r="E91" s="220" t="s">
        <v>256</v>
      </c>
      <c r="F91" s="221">
        <v>76</v>
      </c>
      <c r="G91" s="252">
        <v>0</v>
      </c>
      <c r="H91" s="251">
        <f>ROUND(G91*$F91,2)</f>
        <v>0</v>
      </c>
    </row>
    <row r="92" spans="1:8" s="232" customFormat="1" ht="15" x14ac:dyDescent="0.25">
      <c r="B92" s="222" t="s">
        <v>895</v>
      </c>
      <c r="C92" s="233"/>
      <c r="D92" s="223" t="s">
        <v>1115</v>
      </c>
    </row>
    <row r="93" spans="1:8" x14ac:dyDescent="0.25">
      <c r="A93" s="218">
        <f>A91+1</f>
        <v>41</v>
      </c>
      <c r="B93" s="218" t="s">
        <v>203</v>
      </c>
      <c r="C93" s="219" t="s">
        <v>80</v>
      </c>
      <c r="D93" s="230" t="s">
        <v>1116</v>
      </c>
      <c r="E93" s="220" t="s">
        <v>256</v>
      </c>
      <c r="F93" s="221">
        <v>32</v>
      </c>
      <c r="G93" s="252">
        <v>0</v>
      </c>
      <c r="H93" s="251">
        <f>ROUND(G93*$F93,2)</f>
        <v>0</v>
      </c>
    </row>
    <row r="94" spans="1:8" s="232" customFormat="1" ht="15" x14ac:dyDescent="0.25">
      <c r="B94" s="222" t="s">
        <v>895</v>
      </c>
      <c r="C94" s="233"/>
      <c r="D94" s="223" t="s">
        <v>1116</v>
      </c>
      <c r="E94" s="234"/>
      <c r="F94" s="235"/>
    </row>
    <row r="95" spans="1:8" x14ac:dyDescent="0.25">
      <c r="A95" s="218">
        <f>A93+1</f>
        <v>42</v>
      </c>
      <c r="B95" s="218" t="s">
        <v>203</v>
      </c>
      <c r="C95" s="219" t="s">
        <v>80</v>
      </c>
      <c r="D95" s="230" t="s">
        <v>1117</v>
      </c>
      <c r="E95" s="220" t="s">
        <v>256</v>
      </c>
      <c r="F95" s="221">
        <v>32</v>
      </c>
      <c r="G95" s="252">
        <v>0</v>
      </c>
      <c r="H95" s="251">
        <f>ROUND(G95*$F95,2)</f>
        <v>0</v>
      </c>
    </row>
    <row r="96" spans="1:8" s="232" customFormat="1" ht="15" x14ac:dyDescent="0.25">
      <c r="B96" s="222" t="s">
        <v>895</v>
      </c>
      <c r="C96" s="236"/>
      <c r="D96" s="223" t="s">
        <v>1117</v>
      </c>
      <c r="E96" s="234"/>
      <c r="F96" s="231"/>
    </row>
    <row r="97" spans="1:8" x14ac:dyDescent="0.25">
      <c r="A97" s="218">
        <f>A95+1</f>
        <v>43</v>
      </c>
      <c r="B97" s="218" t="s">
        <v>203</v>
      </c>
      <c r="C97" s="219" t="s">
        <v>80</v>
      </c>
      <c r="D97" s="230" t="s">
        <v>1118</v>
      </c>
      <c r="E97" s="220" t="s">
        <v>256</v>
      </c>
      <c r="F97" s="221">
        <v>64</v>
      </c>
      <c r="G97" s="252">
        <v>0</v>
      </c>
      <c r="H97" s="251">
        <f>ROUND(G97*$F97,2)</f>
        <v>0</v>
      </c>
    </row>
    <row r="98" spans="1:8" s="232" customFormat="1" ht="15" x14ac:dyDescent="0.25">
      <c r="B98" s="222" t="s">
        <v>895</v>
      </c>
      <c r="D98" s="223" t="s">
        <v>1118</v>
      </c>
    </row>
    <row r="99" spans="1:8" x14ac:dyDescent="0.25">
      <c r="A99" s="225">
        <f>A97+1</f>
        <v>44</v>
      </c>
      <c r="B99" s="225" t="s">
        <v>932</v>
      </c>
      <c r="C99" s="226" t="s">
        <v>80</v>
      </c>
      <c r="D99" s="227" t="s">
        <v>978</v>
      </c>
      <c r="E99" s="228" t="s">
        <v>975</v>
      </c>
      <c r="F99" s="229">
        <v>6</v>
      </c>
      <c r="G99" s="252">
        <v>0</v>
      </c>
      <c r="H99" s="251">
        <f>ROUND(G99*$F99,2)</f>
        <v>0</v>
      </c>
    </row>
    <row r="100" spans="1:8" x14ac:dyDescent="0.25">
      <c r="B100" s="222" t="s">
        <v>895</v>
      </c>
      <c r="D100" s="223" t="s">
        <v>978</v>
      </c>
    </row>
    <row r="101" spans="1:8" x14ac:dyDescent="0.25">
      <c r="A101" s="225">
        <f>A99+1</f>
        <v>45</v>
      </c>
      <c r="B101" s="225" t="s">
        <v>932</v>
      </c>
      <c r="C101" s="226" t="s">
        <v>979</v>
      </c>
      <c r="D101" s="227" t="s">
        <v>980</v>
      </c>
      <c r="E101" s="228" t="s">
        <v>975</v>
      </c>
      <c r="F101" s="229">
        <v>162</v>
      </c>
      <c r="G101" s="252">
        <v>0</v>
      </c>
      <c r="H101" s="251">
        <f>ROUND(G101*$F101,2)</f>
        <v>0</v>
      </c>
    </row>
    <row r="102" spans="1:8" x14ac:dyDescent="0.25">
      <c r="B102" s="222" t="s">
        <v>895</v>
      </c>
      <c r="D102" s="223" t="s">
        <v>980</v>
      </c>
    </row>
    <row r="103" spans="1:8" x14ac:dyDescent="0.25">
      <c r="A103" s="218">
        <f>A101+1</f>
        <v>46</v>
      </c>
      <c r="B103" s="218" t="s">
        <v>203</v>
      </c>
      <c r="C103" s="219" t="s">
        <v>90</v>
      </c>
      <c r="D103" s="224" t="s">
        <v>981</v>
      </c>
      <c r="E103" s="220" t="s">
        <v>975</v>
      </c>
      <c r="F103" s="221">
        <v>19</v>
      </c>
      <c r="G103" s="252">
        <v>0</v>
      </c>
      <c r="H103" s="251">
        <f>ROUND(G103*$F103,2)</f>
        <v>0</v>
      </c>
    </row>
    <row r="104" spans="1:8" x14ac:dyDescent="0.25">
      <c r="B104" s="222" t="s">
        <v>895</v>
      </c>
      <c r="D104" s="223" t="s">
        <v>981</v>
      </c>
    </row>
    <row r="105" spans="1:8" ht="60" x14ac:dyDescent="0.25">
      <c r="A105" s="218">
        <f t="shared" ref="A105:A121" si="21">A103+1</f>
        <v>47</v>
      </c>
      <c r="B105" s="218" t="s">
        <v>203</v>
      </c>
      <c r="C105" s="219" t="s">
        <v>982</v>
      </c>
      <c r="D105" s="230" t="s">
        <v>1136</v>
      </c>
      <c r="E105" s="220" t="s">
        <v>975</v>
      </c>
      <c r="F105" s="221">
        <v>6</v>
      </c>
      <c r="G105" s="252">
        <v>0</v>
      </c>
      <c r="H105" s="251">
        <f>ROUND(G105*$F105,2)</f>
        <v>0</v>
      </c>
    </row>
    <row r="106" spans="1:8" x14ac:dyDescent="0.25">
      <c r="B106" s="222" t="s">
        <v>895</v>
      </c>
      <c r="D106" s="223" t="s">
        <v>983</v>
      </c>
    </row>
    <row r="107" spans="1:8" x14ac:dyDescent="0.25">
      <c r="A107" s="218">
        <f t="shared" si="21"/>
        <v>48</v>
      </c>
      <c r="B107" s="218" t="s">
        <v>203</v>
      </c>
      <c r="C107" s="219" t="s">
        <v>982</v>
      </c>
      <c r="D107" s="224" t="s">
        <v>984</v>
      </c>
      <c r="E107" s="220" t="s">
        <v>975</v>
      </c>
      <c r="F107" s="221">
        <v>6</v>
      </c>
      <c r="G107" s="252">
        <v>0</v>
      </c>
      <c r="H107" s="251">
        <f>ROUND(G107*$F107,2)</f>
        <v>0</v>
      </c>
    </row>
    <row r="108" spans="1:8" x14ac:dyDescent="0.25">
      <c r="B108" s="222" t="s">
        <v>895</v>
      </c>
      <c r="D108" s="223" t="s">
        <v>984</v>
      </c>
    </row>
    <row r="109" spans="1:8" x14ac:dyDescent="0.25">
      <c r="A109" s="225">
        <f t="shared" si="21"/>
        <v>49</v>
      </c>
      <c r="B109" s="225" t="s">
        <v>932</v>
      </c>
      <c r="C109" s="226" t="s">
        <v>982</v>
      </c>
      <c r="D109" s="227" t="s">
        <v>985</v>
      </c>
      <c r="E109" s="228" t="s">
        <v>134</v>
      </c>
      <c r="F109" s="229">
        <v>6</v>
      </c>
      <c r="G109" s="252">
        <v>0</v>
      </c>
      <c r="H109" s="251">
        <f>ROUND(G109*$F109,2)</f>
        <v>0</v>
      </c>
    </row>
    <row r="110" spans="1:8" x14ac:dyDescent="0.25">
      <c r="B110" s="222" t="s">
        <v>895</v>
      </c>
      <c r="D110" s="223" t="s">
        <v>985</v>
      </c>
    </row>
    <row r="111" spans="1:8" x14ac:dyDescent="0.25">
      <c r="A111" s="225">
        <f t="shared" si="21"/>
        <v>50</v>
      </c>
      <c r="B111" s="225" t="s">
        <v>932</v>
      </c>
      <c r="C111" s="226" t="s">
        <v>982</v>
      </c>
      <c r="D111" s="227" t="s">
        <v>986</v>
      </c>
      <c r="E111" s="228" t="s">
        <v>134</v>
      </c>
      <c r="F111" s="229">
        <v>6</v>
      </c>
      <c r="G111" s="252">
        <v>0</v>
      </c>
      <c r="H111" s="251">
        <f>ROUND(G111*$F111,2)</f>
        <v>0</v>
      </c>
    </row>
    <row r="112" spans="1:8" x14ac:dyDescent="0.25">
      <c r="B112" s="222" t="s">
        <v>895</v>
      </c>
      <c r="D112" s="223" t="s">
        <v>986</v>
      </c>
    </row>
    <row r="113" spans="1:8" x14ac:dyDescent="0.25">
      <c r="A113" s="225">
        <f t="shared" si="21"/>
        <v>51</v>
      </c>
      <c r="B113" s="225" t="s">
        <v>932</v>
      </c>
      <c r="C113" s="226" t="s">
        <v>982</v>
      </c>
      <c r="D113" s="227" t="s">
        <v>987</v>
      </c>
      <c r="E113" s="228" t="s">
        <v>134</v>
      </c>
      <c r="F113" s="229">
        <v>5</v>
      </c>
      <c r="G113" s="252">
        <v>0</v>
      </c>
      <c r="H113" s="251">
        <f>ROUND(G113*$F113,2)</f>
        <v>0</v>
      </c>
    </row>
    <row r="114" spans="1:8" x14ac:dyDescent="0.25">
      <c r="B114" s="222" t="s">
        <v>895</v>
      </c>
      <c r="D114" s="223" t="s">
        <v>988</v>
      </c>
    </row>
    <row r="115" spans="1:8" x14ac:dyDescent="0.25">
      <c r="A115" s="225">
        <f t="shared" si="21"/>
        <v>52</v>
      </c>
      <c r="B115" s="225" t="s">
        <v>932</v>
      </c>
      <c r="C115" s="226" t="s">
        <v>982</v>
      </c>
      <c r="D115" s="227" t="s">
        <v>989</v>
      </c>
      <c r="E115" s="228" t="s">
        <v>134</v>
      </c>
      <c r="F115" s="229">
        <v>5</v>
      </c>
      <c r="G115" s="252">
        <v>0</v>
      </c>
      <c r="H115" s="251">
        <f>ROUND(G115*$F115,2)</f>
        <v>0</v>
      </c>
    </row>
    <row r="116" spans="1:8" x14ac:dyDescent="0.25">
      <c r="B116" s="222"/>
      <c r="D116" s="223" t="s">
        <v>989</v>
      </c>
    </row>
    <row r="117" spans="1:8" x14ac:dyDescent="0.25">
      <c r="A117" s="225">
        <f t="shared" si="21"/>
        <v>53</v>
      </c>
      <c r="B117" s="225" t="s">
        <v>932</v>
      </c>
      <c r="C117" s="226" t="s">
        <v>982</v>
      </c>
      <c r="D117" s="227" t="s">
        <v>990</v>
      </c>
      <c r="E117" s="228" t="s">
        <v>134</v>
      </c>
      <c r="F117" s="229">
        <v>6</v>
      </c>
      <c r="G117" s="252">
        <v>0</v>
      </c>
      <c r="H117" s="251">
        <f>ROUND(G117*$F117,2)</f>
        <v>0</v>
      </c>
    </row>
    <row r="118" spans="1:8" x14ac:dyDescent="0.25">
      <c r="B118" s="222" t="s">
        <v>895</v>
      </c>
      <c r="D118" s="223" t="s">
        <v>990</v>
      </c>
    </row>
    <row r="119" spans="1:8" x14ac:dyDescent="0.25">
      <c r="A119" s="225">
        <f t="shared" si="21"/>
        <v>54</v>
      </c>
      <c r="B119" s="225" t="s">
        <v>932</v>
      </c>
      <c r="C119" s="226" t="s">
        <v>991</v>
      </c>
      <c r="D119" s="227" t="s">
        <v>992</v>
      </c>
      <c r="E119" s="228" t="s">
        <v>975</v>
      </c>
      <c r="F119" s="229">
        <v>12</v>
      </c>
      <c r="G119" s="252">
        <v>0</v>
      </c>
      <c r="H119" s="251">
        <f>ROUND(G119*$F119,2)</f>
        <v>0</v>
      </c>
    </row>
    <row r="120" spans="1:8" x14ac:dyDescent="0.25">
      <c r="B120" s="222" t="s">
        <v>895</v>
      </c>
      <c r="D120" s="223" t="s">
        <v>992</v>
      </c>
    </row>
    <row r="121" spans="1:8" ht="24" x14ac:dyDescent="0.25">
      <c r="A121" s="225">
        <f t="shared" si="21"/>
        <v>55</v>
      </c>
      <c r="B121" s="225" t="s">
        <v>932</v>
      </c>
      <c r="C121" s="226" t="s">
        <v>993</v>
      </c>
      <c r="D121" s="227" t="s">
        <v>994</v>
      </c>
      <c r="E121" s="228" t="s">
        <v>975</v>
      </c>
      <c r="F121" s="229">
        <v>1</v>
      </c>
      <c r="G121" s="252">
        <v>0</v>
      </c>
      <c r="H121" s="251">
        <f>ROUND(G121*$F121,2)</f>
        <v>0</v>
      </c>
    </row>
    <row r="122" spans="1:8" ht="19.5" x14ac:dyDescent="0.25">
      <c r="B122" s="222" t="s">
        <v>895</v>
      </c>
      <c r="D122" s="223" t="s">
        <v>994</v>
      </c>
    </row>
    <row r="123" spans="1:8" ht="15" x14ac:dyDescent="0.25">
      <c r="B123" s="222"/>
      <c r="C123" s="250">
        <v>209</v>
      </c>
      <c r="D123" s="250" t="s">
        <v>995</v>
      </c>
    </row>
    <row r="124" spans="1:8" x14ac:dyDescent="0.25">
      <c r="A124" s="218">
        <f>A121+1</f>
        <v>56</v>
      </c>
      <c r="B124" s="218" t="s">
        <v>203</v>
      </c>
      <c r="C124" s="219" t="s">
        <v>996</v>
      </c>
      <c r="D124" s="224" t="s">
        <v>997</v>
      </c>
      <c r="E124" s="220" t="s">
        <v>71</v>
      </c>
      <c r="F124" s="221">
        <v>30</v>
      </c>
      <c r="G124" s="252">
        <v>0</v>
      </c>
      <c r="H124" s="251">
        <f>ROUND(G124*$F124,2)</f>
        <v>0</v>
      </c>
    </row>
    <row r="125" spans="1:8" x14ac:dyDescent="0.25">
      <c r="B125" s="222" t="s">
        <v>895</v>
      </c>
      <c r="D125" s="223" t="s">
        <v>998</v>
      </c>
    </row>
    <row r="126" spans="1:8" x14ac:dyDescent="0.25">
      <c r="A126" s="218">
        <f>A124+1</f>
        <v>57</v>
      </c>
      <c r="B126" s="225" t="s">
        <v>932</v>
      </c>
      <c r="C126" s="226" t="s">
        <v>999</v>
      </c>
      <c r="D126" s="227" t="s">
        <v>1000</v>
      </c>
      <c r="E126" s="228" t="s">
        <v>134</v>
      </c>
      <c r="F126" s="229">
        <v>12</v>
      </c>
      <c r="G126" s="252">
        <v>0</v>
      </c>
      <c r="H126" s="251">
        <f>ROUND(G126*$F126,2)</f>
        <v>0</v>
      </c>
    </row>
    <row r="127" spans="1:8" x14ac:dyDescent="0.25">
      <c r="B127" s="222" t="s">
        <v>895</v>
      </c>
      <c r="D127" s="223" t="s">
        <v>1000</v>
      </c>
    </row>
    <row r="128" spans="1:8" ht="24" x14ac:dyDescent="0.25">
      <c r="A128" s="218">
        <f>A126+1</f>
        <v>58</v>
      </c>
      <c r="B128" s="218" t="s">
        <v>203</v>
      </c>
      <c r="C128" s="219" t="s">
        <v>1001</v>
      </c>
      <c r="D128" s="224" t="s">
        <v>1002</v>
      </c>
      <c r="E128" s="220" t="s">
        <v>134</v>
      </c>
      <c r="F128" s="221">
        <v>12</v>
      </c>
      <c r="G128" s="252">
        <v>0</v>
      </c>
      <c r="H128" s="251">
        <f>ROUND(G128*$F128,2)</f>
        <v>0</v>
      </c>
    </row>
    <row r="129" spans="2:4" x14ac:dyDescent="0.25">
      <c r="B129" s="222" t="s">
        <v>895</v>
      </c>
      <c r="D129" s="223" t="s">
        <v>1002</v>
      </c>
    </row>
  </sheetData>
  <autoFilter ref="A3:H129" xr:uid="{00000000-0009-0000-0000-000006000000}"/>
  <mergeCells count="1">
    <mergeCell ref="G1:H1"/>
  </mergeCells>
  <printOptions horizontalCentered="1" gridLines="1"/>
  <pageMargins left="0.51181102362204722" right="0.51181102362204722" top="0.78740157480314965" bottom="0.59055118110236227" header="0.31496062992125984" footer="0.31496062992125984"/>
  <pageSetup paperSize="9" scale="88" fitToHeight="13" orientation="landscape" r:id="rId1"/>
  <headerFooter>
    <oddHeader>&amp;R
KV-2225-G1-3</oddHeader>
    <oddFooter>&amp;C&amp;P/&amp;N</oddFooter>
  </headerFooter>
  <rowBreaks count="3" manualBreakCount="3">
    <brk id="25" max="8" man="1"/>
    <brk id="63" max="8" man="1"/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2"/>
  <sheetViews>
    <sheetView topLeftCell="A18" zoomScale="85" zoomScaleNormal="85" workbookViewId="0">
      <selection activeCell="J66" sqref="J66"/>
    </sheetView>
  </sheetViews>
  <sheetFormatPr defaultRowHeight="12.75" x14ac:dyDescent="0.25"/>
  <cols>
    <col min="1" max="1" width="110.140625" style="241" customWidth="1"/>
    <col min="2" max="2" width="2.85546875" style="277" bestFit="1" customWidth="1"/>
    <col min="3" max="3" width="27.28515625" style="241" bestFit="1" customWidth="1"/>
    <col min="4" max="5" width="9" style="278" customWidth="1"/>
    <col min="6" max="256" width="9.140625" style="241"/>
    <col min="257" max="257" width="77.28515625" style="241" bestFit="1" customWidth="1"/>
    <col min="258" max="258" width="2.85546875" style="241" bestFit="1" customWidth="1"/>
    <col min="259" max="259" width="27.28515625" style="241" bestFit="1" customWidth="1"/>
    <col min="260" max="261" width="9" style="241" customWidth="1"/>
    <col min="262" max="512" width="9.140625" style="241"/>
    <col min="513" max="513" width="77.28515625" style="241" bestFit="1" customWidth="1"/>
    <col min="514" max="514" width="2.85546875" style="241" bestFit="1" customWidth="1"/>
    <col min="515" max="515" width="27.28515625" style="241" bestFit="1" customWidth="1"/>
    <col min="516" max="517" width="9" style="241" customWidth="1"/>
    <col min="518" max="768" width="9.140625" style="241"/>
    <col min="769" max="769" width="77.28515625" style="241" bestFit="1" customWidth="1"/>
    <col min="770" max="770" width="2.85546875" style="241" bestFit="1" customWidth="1"/>
    <col min="771" max="771" width="27.28515625" style="241" bestFit="1" customWidth="1"/>
    <col min="772" max="773" width="9" style="241" customWidth="1"/>
    <col min="774" max="1024" width="9.140625" style="241"/>
    <col min="1025" max="1025" width="77.28515625" style="241" bestFit="1" customWidth="1"/>
    <col min="1026" max="1026" width="2.85546875" style="241" bestFit="1" customWidth="1"/>
    <col min="1027" max="1027" width="27.28515625" style="241" bestFit="1" customWidth="1"/>
    <col min="1028" max="1029" width="9" style="241" customWidth="1"/>
    <col min="1030" max="1280" width="9.140625" style="241"/>
    <col min="1281" max="1281" width="77.28515625" style="241" bestFit="1" customWidth="1"/>
    <col min="1282" max="1282" width="2.85546875" style="241" bestFit="1" customWidth="1"/>
    <col min="1283" max="1283" width="27.28515625" style="241" bestFit="1" customWidth="1"/>
    <col min="1284" max="1285" width="9" style="241" customWidth="1"/>
    <col min="1286" max="1536" width="9.140625" style="241"/>
    <col min="1537" max="1537" width="77.28515625" style="241" bestFit="1" customWidth="1"/>
    <col min="1538" max="1538" width="2.85546875" style="241" bestFit="1" customWidth="1"/>
    <col min="1539" max="1539" width="27.28515625" style="241" bestFit="1" customWidth="1"/>
    <col min="1540" max="1541" width="9" style="241" customWidth="1"/>
    <col min="1542" max="1792" width="9.140625" style="241"/>
    <col min="1793" max="1793" width="77.28515625" style="241" bestFit="1" customWidth="1"/>
    <col min="1794" max="1794" width="2.85546875" style="241" bestFit="1" customWidth="1"/>
    <col min="1795" max="1795" width="27.28515625" style="241" bestFit="1" customWidth="1"/>
    <col min="1796" max="1797" width="9" style="241" customWidth="1"/>
    <col min="1798" max="2048" width="9.140625" style="241"/>
    <col min="2049" max="2049" width="77.28515625" style="241" bestFit="1" customWidth="1"/>
    <col min="2050" max="2050" width="2.85546875" style="241" bestFit="1" customWidth="1"/>
    <col min="2051" max="2051" width="27.28515625" style="241" bestFit="1" customWidth="1"/>
    <col min="2052" max="2053" width="9" style="241" customWidth="1"/>
    <col min="2054" max="2304" width="9.140625" style="241"/>
    <col min="2305" max="2305" width="77.28515625" style="241" bestFit="1" customWidth="1"/>
    <col min="2306" max="2306" width="2.85546875" style="241" bestFit="1" customWidth="1"/>
    <col min="2307" max="2307" width="27.28515625" style="241" bestFit="1" customWidth="1"/>
    <col min="2308" max="2309" width="9" style="241" customWidth="1"/>
    <col min="2310" max="2560" width="9.140625" style="241"/>
    <col min="2561" max="2561" width="77.28515625" style="241" bestFit="1" customWidth="1"/>
    <col min="2562" max="2562" width="2.85546875" style="241" bestFit="1" customWidth="1"/>
    <col min="2563" max="2563" width="27.28515625" style="241" bestFit="1" customWidth="1"/>
    <col min="2564" max="2565" width="9" style="241" customWidth="1"/>
    <col min="2566" max="2816" width="9.140625" style="241"/>
    <col min="2817" max="2817" width="77.28515625" style="241" bestFit="1" customWidth="1"/>
    <col min="2818" max="2818" width="2.85546875" style="241" bestFit="1" customWidth="1"/>
    <col min="2819" max="2819" width="27.28515625" style="241" bestFit="1" customWidth="1"/>
    <col min="2820" max="2821" width="9" style="241" customWidth="1"/>
    <col min="2822" max="3072" width="9.140625" style="241"/>
    <col min="3073" max="3073" width="77.28515625" style="241" bestFit="1" customWidth="1"/>
    <col min="3074" max="3074" width="2.85546875" style="241" bestFit="1" customWidth="1"/>
    <col min="3075" max="3075" width="27.28515625" style="241" bestFit="1" customWidth="1"/>
    <col min="3076" max="3077" width="9" style="241" customWidth="1"/>
    <col min="3078" max="3328" width="9.140625" style="241"/>
    <col min="3329" max="3329" width="77.28515625" style="241" bestFit="1" customWidth="1"/>
    <col min="3330" max="3330" width="2.85546875" style="241" bestFit="1" customWidth="1"/>
    <col min="3331" max="3331" width="27.28515625" style="241" bestFit="1" customWidth="1"/>
    <col min="3332" max="3333" width="9" style="241" customWidth="1"/>
    <col min="3334" max="3584" width="9.140625" style="241"/>
    <col min="3585" max="3585" width="77.28515625" style="241" bestFit="1" customWidth="1"/>
    <col min="3586" max="3586" width="2.85546875" style="241" bestFit="1" customWidth="1"/>
    <col min="3587" max="3587" width="27.28515625" style="241" bestFit="1" customWidth="1"/>
    <col min="3588" max="3589" width="9" style="241" customWidth="1"/>
    <col min="3590" max="3840" width="9.140625" style="241"/>
    <col min="3841" max="3841" width="77.28515625" style="241" bestFit="1" customWidth="1"/>
    <col min="3842" max="3842" width="2.85546875" style="241" bestFit="1" customWidth="1"/>
    <col min="3843" max="3843" width="27.28515625" style="241" bestFit="1" customWidth="1"/>
    <col min="3844" max="3845" width="9" style="241" customWidth="1"/>
    <col min="3846" max="4096" width="9.140625" style="241"/>
    <col min="4097" max="4097" width="77.28515625" style="241" bestFit="1" customWidth="1"/>
    <col min="4098" max="4098" width="2.85546875" style="241" bestFit="1" customWidth="1"/>
    <col min="4099" max="4099" width="27.28515625" style="241" bestFit="1" customWidth="1"/>
    <col min="4100" max="4101" width="9" style="241" customWidth="1"/>
    <col min="4102" max="4352" width="9.140625" style="241"/>
    <col min="4353" max="4353" width="77.28515625" style="241" bestFit="1" customWidth="1"/>
    <col min="4354" max="4354" width="2.85546875" style="241" bestFit="1" customWidth="1"/>
    <col min="4355" max="4355" width="27.28515625" style="241" bestFit="1" customWidth="1"/>
    <col min="4356" max="4357" width="9" style="241" customWidth="1"/>
    <col min="4358" max="4608" width="9.140625" style="241"/>
    <col min="4609" max="4609" width="77.28515625" style="241" bestFit="1" customWidth="1"/>
    <col min="4610" max="4610" width="2.85546875" style="241" bestFit="1" customWidth="1"/>
    <col min="4611" max="4611" width="27.28515625" style="241" bestFit="1" customWidth="1"/>
    <col min="4612" max="4613" width="9" style="241" customWidth="1"/>
    <col min="4614" max="4864" width="9.140625" style="241"/>
    <col min="4865" max="4865" width="77.28515625" style="241" bestFit="1" customWidth="1"/>
    <col min="4866" max="4866" width="2.85546875" style="241" bestFit="1" customWidth="1"/>
    <col min="4867" max="4867" width="27.28515625" style="241" bestFit="1" customWidth="1"/>
    <col min="4868" max="4869" width="9" style="241" customWidth="1"/>
    <col min="4870" max="5120" width="9.140625" style="241"/>
    <col min="5121" max="5121" width="77.28515625" style="241" bestFit="1" customWidth="1"/>
    <col min="5122" max="5122" width="2.85546875" style="241" bestFit="1" customWidth="1"/>
    <col min="5123" max="5123" width="27.28515625" style="241" bestFit="1" customWidth="1"/>
    <col min="5124" max="5125" width="9" style="241" customWidth="1"/>
    <col min="5126" max="5376" width="9.140625" style="241"/>
    <col min="5377" max="5377" width="77.28515625" style="241" bestFit="1" customWidth="1"/>
    <col min="5378" max="5378" width="2.85546875" style="241" bestFit="1" customWidth="1"/>
    <col min="5379" max="5379" width="27.28515625" style="241" bestFit="1" customWidth="1"/>
    <col min="5380" max="5381" width="9" style="241" customWidth="1"/>
    <col min="5382" max="5632" width="9.140625" style="241"/>
    <col min="5633" max="5633" width="77.28515625" style="241" bestFit="1" customWidth="1"/>
    <col min="5634" max="5634" width="2.85546875" style="241" bestFit="1" customWidth="1"/>
    <col min="5635" max="5635" width="27.28515625" style="241" bestFit="1" customWidth="1"/>
    <col min="5636" max="5637" width="9" style="241" customWidth="1"/>
    <col min="5638" max="5888" width="9.140625" style="241"/>
    <col min="5889" max="5889" width="77.28515625" style="241" bestFit="1" customWidth="1"/>
    <col min="5890" max="5890" width="2.85546875" style="241" bestFit="1" customWidth="1"/>
    <col min="5891" max="5891" width="27.28515625" style="241" bestFit="1" customWidth="1"/>
    <col min="5892" max="5893" width="9" style="241" customWidth="1"/>
    <col min="5894" max="6144" width="9.140625" style="241"/>
    <col min="6145" max="6145" width="77.28515625" style="241" bestFit="1" customWidth="1"/>
    <col min="6146" max="6146" width="2.85546875" style="241" bestFit="1" customWidth="1"/>
    <col min="6147" max="6147" width="27.28515625" style="241" bestFit="1" customWidth="1"/>
    <col min="6148" max="6149" width="9" style="241" customWidth="1"/>
    <col min="6150" max="6400" width="9.140625" style="241"/>
    <col min="6401" max="6401" width="77.28515625" style="241" bestFit="1" customWidth="1"/>
    <col min="6402" max="6402" width="2.85546875" style="241" bestFit="1" customWidth="1"/>
    <col min="6403" max="6403" width="27.28515625" style="241" bestFit="1" customWidth="1"/>
    <col min="6404" max="6405" width="9" style="241" customWidth="1"/>
    <col min="6406" max="6656" width="9.140625" style="241"/>
    <col min="6657" max="6657" width="77.28515625" style="241" bestFit="1" customWidth="1"/>
    <col min="6658" max="6658" width="2.85546875" style="241" bestFit="1" customWidth="1"/>
    <col min="6659" max="6659" width="27.28515625" style="241" bestFit="1" customWidth="1"/>
    <col min="6660" max="6661" width="9" style="241" customWidth="1"/>
    <col min="6662" max="6912" width="9.140625" style="241"/>
    <col min="6913" max="6913" width="77.28515625" style="241" bestFit="1" customWidth="1"/>
    <col min="6914" max="6914" width="2.85546875" style="241" bestFit="1" customWidth="1"/>
    <col min="6915" max="6915" width="27.28515625" style="241" bestFit="1" customWidth="1"/>
    <col min="6916" max="6917" width="9" style="241" customWidth="1"/>
    <col min="6918" max="7168" width="9.140625" style="241"/>
    <col min="7169" max="7169" width="77.28515625" style="241" bestFit="1" customWidth="1"/>
    <col min="7170" max="7170" width="2.85546875" style="241" bestFit="1" customWidth="1"/>
    <col min="7171" max="7171" width="27.28515625" style="241" bestFit="1" customWidth="1"/>
    <col min="7172" max="7173" width="9" style="241" customWidth="1"/>
    <col min="7174" max="7424" width="9.140625" style="241"/>
    <col min="7425" max="7425" width="77.28515625" style="241" bestFit="1" customWidth="1"/>
    <col min="7426" max="7426" width="2.85546875" style="241" bestFit="1" customWidth="1"/>
    <col min="7427" max="7427" width="27.28515625" style="241" bestFit="1" customWidth="1"/>
    <col min="7428" max="7429" width="9" style="241" customWidth="1"/>
    <col min="7430" max="7680" width="9.140625" style="241"/>
    <col min="7681" max="7681" width="77.28515625" style="241" bestFit="1" customWidth="1"/>
    <col min="7682" max="7682" width="2.85546875" style="241" bestFit="1" customWidth="1"/>
    <col min="7683" max="7683" width="27.28515625" style="241" bestFit="1" customWidth="1"/>
    <col min="7684" max="7685" width="9" style="241" customWidth="1"/>
    <col min="7686" max="7936" width="9.140625" style="241"/>
    <col min="7937" max="7937" width="77.28515625" style="241" bestFit="1" customWidth="1"/>
    <col min="7938" max="7938" width="2.85546875" style="241" bestFit="1" customWidth="1"/>
    <col min="7939" max="7939" width="27.28515625" style="241" bestFit="1" customWidth="1"/>
    <col min="7940" max="7941" width="9" style="241" customWidth="1"/>
    <col min="7942" max="8192" width="9.140625" style="241"/>
    <col min="8193" max="8193" width="77.28515625" style="241" bestFit="1" customWidth="1"/>
    <col min="8194" max="8194" width="2.85546875" style="241" bestFit="1" customWidth="1"/>
    <col min="8195" max="8195" width="27.28515625" style="241" bestFit="1" customWidth="1"/>
    <col min="8196" max="8197" width="9" style="241" customWidth="1"/>
    <col min="8198" max="8448" width="9.140625" style="241"/>
    <col min="8449" max="8449" width="77.28515625" style="241" bestFit="1" customWidth="1"/>
    <col min="8450" max="8450" width="2.85546875" style="241" bestFit="1" customWidth="1"/>
    <col min="8451" max="8451" width="27.28515625" style="241" bestFit="1" customWidth="1"/>
    <col min="8452" max="8453" width="9" style="241" customWidth="1"/>
    <col min="8454" max="8704" width="9.140625" style="241"/>
    <col min="8705" max="8705" width="77.28515625" style="241" bestFit="1" customWidth="1"/>
    <col min="8706" max="8706" width="2.85546875" style="241" bestFit="1" customWidth="1"/>
    <col min="8707" max="8707" width="27.28515625" style="241" bestFit="1" customWidth="1"/>
    <col min="8708" max="8709" width="9" style="241" customWidth="1"/>
    <col min="8710" max="8960" width="9.140625" style="241"/>
    <col min="8961" max="8961" width="77.28515625" style="241" bestFit="1" customWidth="1"/>
    <col min="8962" max="8962" width="2.85546875" style="241" bestFit="1" customWidth="1"/>
    <col min="8963" max="8963" width="27.28515625" style="241" bestFit="1" customWidth="1"/>
    <col min="8964" max="8965" width="9" style="241" customWidth="1"/>
    <col min="8966" max="9216" width="9.140625" style="241"/>
    <col min="9217" max="9217" width="77.28515625" style="241" bestFit="1" customWidth="1"/>
    <col min="9218" max="9218" width="2.85546875" style="241" bestFit="1" customWidth="1"/>
    <col min="9219" max="9219" width="27.28515625" style="241" bestFit="1" customWidth="1"/>
    <col min="9220" max="9221" width="9" style="241" customWidth="1"/>
    <col min="9222" max="9472" width="9.140625" style="241"/>
    <col min="9473" max="9473" width="77.28515625" style="241" bestFit="1" customWidth="1"/>
    <col min="9474" max="9474" width="2.85546875" style="241" bestFit="1" customWidth="1"/>
    <col min="9475" max="9475" width="27.28515625" style="241" bestFit="1" customWidth="1"/>
    <col min="9476" max="9477" width="9" style="241" customWidth="1"/>
    <col min="9478" max="9728" width="9.140625" style="241"/>
    <col min="9729" max="9729" width="77.28515625" style="241" bestFit="1" customWidth="1"/>
    <col min="9730" max="9730" width="2.85546875" style="241" bestFit="1" customWidth="1"/>
    <col min="9731" max="9731" width="27.28515625" style="241" bestFit="1" customWidth="1"/>
    <col min="9732" max="9733" width="9" style="241" customWidth="1"/>
    <col min="9734" max="9984" width="9.140625" style="241"/>
    <col min="9985" max="9985" width="77.28515625" style="241" bestFit="1" customWidth="1"/>
    <col min="9986" max="9986" width="2.85546875" style="241" bestFit="1" customWidth="1"/>
    <col min="9987" max="9987" width="27.28515625" style="241" bestFit="1" customWidth="1"/>
    <col min="9988" max="9989" width="9" style="241" customWidth="1"/>
    <col min="9990" max="10240" width="9.140625" style="241"/>
    <col min="10241" max="10241" width="77.28515625" style="241" bestFit="1" customWidth="1"/>
    <col min="10242" max="10242" width="2.85546875" style="241" bestFit="1" customWidth="1"/>
    <col min="10243" max="10243" width="27.28515625" style="241" bestFit="1" customWidth="1"/>
    <col min="10244" max="10245" width="9" style="241" customWidth="1"/>
    <col min="10246" max="10496" width="9.140625" style="241"/>
    <col min="10497" max="10497" width="77.28515625" style="241" bestFit="1" customWidth="1"/>
    <col min="10498" max="10498" width="2.85546875" style="241" bestFit="1" customWidth="1"/>
    <col min="10499" max="10499" width="27.28515625" style="241" bestFit="1" customWidth="1"/>
    <col min="10500" max="10501" width="9" style="241" customWidth="1"/>
    <col min="10502" max="10752" width="9.140625" style="241"/>
    <col min="10753" max="10753" width="77.28515625" style="241" bestFit="1" customWidth="1"/>
    <col min="10754" max="10754" width="2.85546875" style="241" bestFit="1" customWidth="1"/>
    <col min="10755" max="10755" width="27.28515625" style="241" bestFit="1" customWidth="1"/>
    <col min="10756" max="10757" width="9" style="241" customWidth="1"/>
    <col min="10758" max="11008" width="9.140625" style="241"/>
    <col min="11009" max="11009" width="77.28515625" style="241" bestFit="1" customWidth="1"/>
    <col min="11010" max="11010" width="2.85546875" style="241" bestFit="1" customWidth="1"/>
    <col min="11011" max="11011" width="27.28515625" style="241" bestFit="1" customWidth="1"/>
    <col min="11012" max="11013" width="9" style="241" customWidth="1"/>
    <col min="11014" max="11264" width="9.140625" style="241"/>
    <col min="11265" max="11265" width="77.28515625" style="241" bestFit="1" customWidth="1"/>
    <col min="11266" max="11266" width="2.85546875" style="241" bestFit="1" customWidth="1"/>
    <col min="11267" max="11267" width="27.28515625" style="241" bestFit="1" customWidth="1"/>
    <col min="11268" max="11269" width="9" style="241" customWidth="1"/>
    <col min="11270" max="11520" width="9.140625" style="241"/>
    <col min="11521" max="11521" width="77.28515625" style="241" bestFit="1" customWidth="1"/>
    <col min="11522" max="11522" width="2.85546875" style="241" bestFit="1" customWidth="1"/>
    <col min="11523" max="11523" width="27.28515625" style="241" bestFit="1" customWidth="1"/>
    <col min="11524" max="11525" width="9" style="241" customWidth="1"/>
    <col min="11526" max="11776" width="9.140625" style="241"/>
    <col min="11777" max="11777" width="77.28515625" style="241" bestFit="1" customWidth="1"/>
    <col min="11778" max="11778" width="2.85546875" style="241" bestFit="1" customWidth="1"/>
    <col min="11779" max="11779" width="27.28515625" style="241" bestFit="1" customWidth="1"/>
    <col min="11780" max="11781" width="9" style="241" customWidth="1"/>
    <col min="11782" max="12032" width="9.140625" style="241"/>
    <col min="12033" max="12033" width="77.28515625" style="241" bestFit="1" customWidth="1"/>
    <col min="12034" max="12034" width="2.85546875" style="241" bestFit="1" customWidth="1"/>
    <col min="12035" max="12035" width="27.28515625" style="241" bestFit="1" customWidth="1"/>
    <col min="12036" max="12037" width="9" style="241" customWidth="1"/>
    <col min="12038" max="12288" width="9.140625" style="241"/>
    <col min="12289" max="12289" width="77.28515625" style="241" bestFit="1" customWidth="1"/>
    <col min="12290" max="12290" width="2.85546875" style="241" bestFit="1" customWidth="1"/>
    <col min="12291" max="12291" width="27.28515625" style="241" bestFit="1" customWidth="1"/>
    <col min="12292" max="12293" width="9" style="241" customWidth="1"/>
    <col min="12294" max="12544" width="9.140625" style="241"/>
    <col min="12545" max="12545" width="77.28515625" style="241" bestFit="1" customWidth="1"/>
    <col min="12546" max="12546" width="2.85546875" style="241" bestFit="1" customWidth="1"/>
    <col min="12547" max="12547" width="27.28515625" style="241" bestFit="1" customWidth="1"/>
    <col min="12548" max="12549" width="9" style="241" customWidth="1"/>
    <col min="12550" max="12800" width="9.140625" style="241"/>
    <col min="12801" max="12801" width="77.28515625" style="241" bestFit="1" customWidth="1"/>
    <col min="12802" max="12802" width="2.85546875" style="241" bestFit="1" customWidth="1"/>
    <col min="12803" max="12803" width="27.28515625" style="241" bestFit="1" customWidth="1"/>
    <col min="12804" max="12805" width="9" style="241" customWidth="1"/>
    <col min="12806" max="13056" width="9.140625" style="241"/>
    <col min="13057" max="13057" width="77.28515625" style="241" bestFit="1" customWidth="1"/>
    <col min="13058" max="13058" width="2.85546875" style="241" bestFit="1" customWidth="1"/>
    <col min="13059" max="13059" width="27.28515625" style="241" bestFit="1" customWidth="1"/>
    <col min="13060" max="13061" width="9" style="241" customWidth="1"/>
    <col min="13062" max="13312" width="9.140625" style="241"/>
    <col min="13313" max="13313" width="77.28515625" style="241" bestFit="1" customWidth="1"/>
    <col min="13314" max="13314" width="2.85546875" style="241" bestFit="1" customWidth="1"/>
    <col min="13315" max="13315" width="27.28515625" style="241" bestFit="1" customWidth="1"/>
    <col min="13316" max="13317" width="9" style="241" customWidth="1"/>
    <col min="13318" max="13568" width="9.140625" style="241"/>
    <col min="13569" max="13569" width="77.28515625" style="241" bestFit="1" customWidth="1"/>
    <col min="13570" max="13570" width="2.85546875" style="241" bestFit="1" customWidth="1"/>
    <col min="13571" max="13571" width="27.28515625" style="241" bestFit="1" customWidth="1"/>
    <col min="13572" max="13573" width="9" style="241" customWidth="1"/>
    <col min="13574" max="13824" width="9.140625" style="241"/>
    <col min="13825" max="13825" width="77.28515625" style="241" bestFit="1" customWidth="1"/>
    <col min="13826" max="13826" width="2.85546875" style="241" bestFit="1" customWidth="1"/>
    <col min="13827" max="13827" width="27.28515625" style="241" bestFit="1" customWidth="1"/>
    <col min="13828" max="13829" width="9" style="241" customWidth="1"/>
    <col min="13830" max="14080" width="9.140625" style="241"/>
    <col min="14081" max="14081" width="77.28515625" style="241" bestFit="1" customWidth="1"/>
    <col min="14082" max="14082" width="2.85546875" style="241" bestFit="1" customWidth="1"/>
    <col min="14083" max="14083" width="27.28515625" style="241" bestFit="1" customWidth="1"/>
    <col min="14084" max="14085" width="9" style="241" customWidth="1"/>
    <col min="14086" max="14336" width="9.140625" style="241"/>
    <col min="14337" max="14337" width="77.28515625" style="241" bestFit="1" customWidth="1"/>
    <col min="14338" max="14338" width="2.85546875" style="241" bestFit="1" customWidth="1"/>
    <col min="14339" max="14339" width="27.28515625" style="241" bestFit="1" customWidth="1"/>
    <col min="14340" max="14341" width="9" style="241" customWidth="1"/>
    <col min="14342" max="14592" width="9.140625" style="241"/>
    <col min="14593" max="14593" width="77.28515625" style="241" bestFit="1" customWidth="1"/>
    <col min="14594" max="14594" width="2.85546875" style="241" bestFit="1" customWidth="1"/>
    <col min="14595" max="14595" width="27.28515625" style="241" bestFit="1" customWidth="1"/>
    <col min="14596" max="14597" width="9" style="241" customWidth="1"/>
    <col min="14598" max="14848" width="9.140625" style="241"/>
    <col min="14849" max="14849" width="77.28515625" style="241" bestFit="1" customWidth="1"/>
    <col min="14850" max="14850" width="2.85546875" style="241" bestFit="1" customWidth="1"/>
    <col min="14851" max="14851" width="27.28515625" style="241" bestFit="1" customWidth="1"/>
    <col min="14852" max="14853" width="9" style="241" customWidth="1"/>
    <col min="14854" max="15104" width="9.140625" style="241"/>
    <col min="15105" max="15105" width="77.28515625" style="241" bestFit="1" customWidth="1"/>
    <col min="15106" max="15106" width="2.85546875" style="241" bestFit="1" customWidth="1"/>
    <col min="15107" max="15107" width="27.28515625" style="241" bestFit="1" customWidth="1"/>
    <col min="15108" max="15109" width="9" style="241" customWidth="1"/>
    <col min="15110" max="15360" width="9.140625" style="241"/>
    <col min="15361" max="15361" width="77.28515625" style="241" bestFit="1" customWidth="1"/>
    <col min="15362" max="15362" width="2.85546875" style="241" bestFit="1" customWidth="1"/>
    <col min="15363" max="15363" width="27.28515625" style="241" bestFit="1" customWidth="1"/>
    <col min="15364" max="15365" width="9" style="241" customWidth="1"/>
    <col min="15366" max="15616" width="9.140625" style="241"/>
    <col min="15617" max="15617" width="77.28515625" style="241" bestFit="1" customWidth="1"/>
    <col min="15618" max="15618" width="2.85546875" style="241" bestFit="1" customWidth="1"/>
    <col min="15619" max="15619" width="27.28515625" style="241" bestFit="1" customWidth="1"/>
    <col min="15620" max="15621" width="9" style="241" customWidth="1"/>
    <col min="15622" max="15872" width="9.140625" style="241"/>
    <col min="15873" max="15873" width="77.28515625" style="241" bestFit="1" customWidth="1"/>
    <col min="15874" max="15874" width="2.85546875" style="241" bestFit="1" customWidth="1"/>
    <col min="15875" max="15875" width="27.28515625" style="241" bestFit="1" customWidth="1"/>
    <col min="15876" max="15877" width="9" style="241" customWidth="1"/>
    <col min="15878" max="16128" width="9.140625" style="241"/>
    <col min="16129" max="16129" width="77.28515625" style="241" bestFit="1" customWidth="1"/>
    <col min="16130" max="16130" width="2.85546875" style="241" bestFit="1" customWidth="1"/>
    <col min="16131" max="16131" width="27.28515625" style="241" bestFit="1" customWidth="1"/>
    <col min="16132" max="16133" width="9" style="241" customWidth="1"/>
    <col min="16134" max="16384" width="9.140625" style="241"/>
  </cols>
  <sheetData>
    <row r="1" spans="1:5" s="253" customFormat="1" ht="15" x14ac:dyDescent="0.25">
      <c r="A1" s="253" t="str">
        <f>'SO 02'!A2</f>
        <v>Karlovy Vary, Výměna gravitačního řádu termominerální vody, SO 02 - Sdělovací a napájecí kabely</v>
      </c>
      <c r="B1" s="255"/>
      <c r="D1" s="256"/>
      <c r="E1" s="256"/>
    </row>
    <row r="2" spans="1:5" s="253" customFormat="1" ht="15.75" x14ac:dyDescent="0.25">
      <c r="A2" s="257" t="s">
        <v>1003</v>
      </c>
      <c r="B2" s="258"/>
      <c r="C2" s="254"/>
      <c r="D2" s="259"/>
      <c r="E2" s="259"/>
    </row>
    <row r="3" spans="1:5" s="253" customFormat="1" ht="15.75" x14ac:dyDescent="0.25">
      <c r="A3" s="257" t="s">
        <v>894</v>
      </c>
      <c r="B3" s="258"/>
      <c r="C3" s="254"/>
      <c r="D3" s="281" t="s">
        <v>1004</v>
      </c>
      <c r="E3" s="282" t="s">
        <v>1005</v>
      </c>
    </row>
    <row r="4" spans="1:5" ht="193.15" customHeight="1" x14ac:dyDescent="0.25">
      <c r="A4" s="264" t="s">
        <v>1128</v>
      </c>
      <c r="B4" s="265">
        <v>1</v>
      </c>
      <c r="C4" s="239" t="s">
        <v>1006</v>
      </c>
      <c r="D4" s="266">
        <v>0</v>
      </c>
      <c r="E4" s="267">
        <f t="shared" ref="E4:E51" si="0">B4*D4</f>
        <v>0</v>
      </c>
    </row>
    <row r="5" spans="1:5" ht="89.25" x14ac:dyDescent="0.25">
      <c r="A5" s="268" t="s">
        <v>1129</v>
      </c>
      <c r="B5" s="265">
        <v>1</v>
      </c>
      <c r="C5" s="239" t="s">
        <v>1007</v>
      </c>
      <c r="D5" s="266">
        <v>0</v>
      </c>
      <c r="E5" s="266">
        <f t="shared" si="0"/>
        <v>0</v>
      </c>
    </row>
    <row r="6" spans="1:5" ht="51" x14ac:dyDescent="0.25">
      <c r="A6" s="268" t="s">
        <v>1130</v>
      </c>
      <c r="B6" s="265">
        <v>2</v>
      </c>
      <c r="C6" s="239" t="s">
        <v>1008</v>
      </c>
      <c r="D6" s="266">
        <v>0</v>
      </c>
      <c r="E6" s="266">
        <f t="shared" si="0"/>
        <v>0</v>
      </c>
    </row>
    <row r="7" spans="1:5" x14ac:dyDescent="0.25">
      <c r="A7" s="269" t="s">
        <v>1009</v>
      </c>
      <c r="B7" s="265">
        <v>1</v>
      </c>
      <c r="C7" s="239" t="s">
        <v>1010</v>
      </c>
      <c r="D7" s="266">
        <v>0</v>
      </c>
      <c r="E7" s="266">
        <f t="shared" si="0"/>
        <v>0</v>
      </c>
    </row>
    <row r="8" spans="1:5" x14ac:dyDescent="0.25">
      <c r="A8" s="269" t="s">
        <v>1011</v>
      </c>
      <c r="B8" s="265">
        <v>1</v>
      </c>
      <c r="C8" s="239" t="s">
        <v>1012</v>
      </c>
      <c r="D8" s="266">
        <v>0</v>
      </c>
      <c r="E8" s="266">
        <f t="shared" si="0"/>
        <v>0</v>
      </c>
    </row>
    <row r="9" spans="1:5" x14ac:dyDescent="0.25">
      <c r="A9" s="269" t="s">
        <v>1013</v>
      </c>
      <c r="B9" s="265">
        <v>1</v>
      </c>
      <c r="C9" s="239" t="s">
        <v>1014</v>
      </c>
      <c r="D9" s="266">
        <v>0</v>
      </c>
      <c r="E9" s="266">
        <f t="shared" si="0"/>
        <v>0</v>
      </c>
    </row>
    <row r="10" spans="1:5" x14ac:dyDescent="0.25">
      <c r="A10" s="269" t="s">
        <v>1015</v>
      </c>
      <c r="B10" s="265">
        <v>1</v>
      </c>
      <c r="C10" s="239" t="s">
        <v>1016</v>
      </c>
      <c r="D10" s="266">
        <v>0</v>
      </c>
      <c r="E10" s="266">
        <f t="shared" si="0"/>
        <v>0</v>
      </c>
    </row>
    <row r="11" spans="1:5" ht="72.75" customHeight="1" x14ac:dyDescent="0.25">
      <c r="A11" s="264" t="s">
        <v>1131</v>
      </c>
      <c r="B11" s="265">
        <v>1</v>
      </c>
      <c r="C11" s="242" t="s">
        <v>1017</v>
      </c>
      <c r="D11" s="270">
        <v>0</v>
      </c>
      <c r="E11" s="266">
        <f>B11*D11</f>
        <v>0</v>
      </c>
    </row>
    <row r="12" spans="1:5" ht="174.75" customHeight="1" x14ac:dyDescent="0.25">
      <c r="A12" s="268" t="s">
        <v>1132</v>
      </c>
      <c r="B12" s="265">
        <v>1</v>
      </c>
      <c r="C12" s="239" t="s">
        <v>1018</v>
      </c>
      <c r="D12" s="270">
        <v>0</v>
      </c>
      <c r="E12" s="266">
        <f t="shared" si="0"/>
        <v>0</v>
      </c>
    </row>
    <row r="13" spans="1:5" x14ac:dyDescent="0.25">
      <c r="A13" s="269" t="s">
        <v>1019</v>
      </c>
      <c r="B13" s="265">
        <v>1</v>
      </c>
      <c r="C13" s="239" t="s">
        <v>1020</v>
      </c>
      <c r="D13" s="270">
        <v>0</v>
      </c>
      <c r="E13" s="266">
        <f t="shared" si="0"/>
        <v>0</v>
      </c>
    </row>
    <row r="14" spans="1:5" ht="327" customHeight="1" x14ac:dyDescent="0.25">
      <c r="A14" s="271" t="s">
        <v>1133</v>
      </c>
      <c r="B14" s="265">
        <v>1</v>
      </c>
      <c r="C14" s="238" t="s">
        <v>897</v>
      </c>
      <c r="D14" s="270">
        <v>0</v>
      </c>
      <c r="E14" s="266">
        <f t="shared" si="0"/>
        <v>0</v>
      </c>
    </row>
    <row r="15" spans="1:5" x14ac:dyDescent="0.25">
      <c r="A15" s="269" t="s">
        <v>1021</v>
      </c>
      <c r="B15" s="272">
        <v>1</v>
      </c>
      <c r="C15" s="239" t="s">
        <v>1022</v>
      </c>
      <c r="D15" s="270">
        <v>0</v>
      </c>
      <c r="E15" s="266">
        <f t="shared" si="0"/>
        <v>0</v>
      </c>
    </row>
    <row r="16" spans="1:5" x14ac:dyDescent="0.25">
      <c r="A16" s="269" t="s">
        <v>1023</v>
      </c>
      <c r="B16" s="272">
        <v>1</v>
      </c>
      <c r="C16" s="239" t="s">
        <v>1024</v>
      </c>
      <c r="D16" s="270">
        <v>0</v>
      </c>
      <c r="E16" s="266">
        <f t="shared" si="0"/>
        <v>0</v>
      </c>
    </row>
    <row r="17" spans="1:5" x14ac:dyDescent="0.25">
      <c r="A17" s="269" t="s">
        <v>1025</v>
      </c>
      <c r="B17" s="272">
        <v>3</v>
      </c>
      <c r="C17" s="239"/>
      <c r="D17" s="270">
        <v>0</v>
      </c>
      <c r="E17" s="266">
        <f t="shared" si="0"/>
        <v>0</v>
      </c>
    </row>
    <row r="18" spans="1:5" ht="31.5" x14ac:dyDescent="0.25">
      <c r="A18" s="273" t="s">
        <v>1026</v>
      </c>
      <c r="B18" s="265">
        <v>2</v>
      </c>
      <c r="C18" s="238"/>
      <c r="D18" s="270">
        <v>0</v>
      </c>
      <c r="E18" s="266">
        <f t="shared" si="0"/>
        <v>0</v>
      </c>
    </row>
    <row r="19" spans="1:5" ht="15.75" x14ac:dyDescent="0.25">
      <c r="A19" s="273" t="s">
        <v>1027</v>
      </c>
      <c r="B19" s="265">
        <v>1</v>
      </c>
      <c r="C19" s="239" t="s">
        <v>1028</v>
      </c>
      <c r="D19" s="270">
        <v>0</v>
      </c>
      <c r="E19" s="266">
        <f t="shared" si="0"/>
        <v>0</v>
      </c>
    </row>
    <row r="20" spans="1:5" x14ac:dyDescent="0.25">
      <c r="A20" s="269" t="s">
        <v>1029</v>
      </c>
      <c r="B20" s="265">
        <v>2</v>
      </c>
      <c r="C20" s="238" t="s">
        <v>1030</v>
      </c>
      <c r="D20" s="270">
        <v>0</v>
      </c>
      <c r="E20" s="266">
        <f t="shared" si="0"/>
        <v>0</v>
      </c>
    </row>
    <row r="21" spans="1:5" ht="75" x14ac:dyDescent="0.25">
      <c r="A21" s="274" t="s">
        <v>1126</v>
      </c>
      <c r="B21" s="265">
        <v>1</v>
      </c>
      <c r="C21" s="239" t="s">
        <v>1031</v>
      </c>
      <c r="D21" s="270">
        <v>0</v>
      </c>
      <c r="E21" s="266">
        <f t="shared" si="0"/>
        <v>0</v>
      </c>
    </row>
    <row r="22" spans="1:5" ht="60" x14ac:dyDescent="0.25">
      <c r="A22" s="274" t="s">
        <v>1127</v>
      </c>
      <c r="B22" s="265">
        <v>1</v>
      </c>
      <c r="C22" s="239" t="s">
        <v>1032</v>
      </c>
      <c r="D22" s="270">
        <v>0</v>
      </c>
      <c r="E22" s="266">
        <f t="shared" si="0"/>
        <v>0</v>
      </c>
    </row>
    <row r="23" spans="1:5" ht="25.5" x14ac:dyDescent="0.25">
      <c r="A23" s="268" t="s">
        <v>1033</v>
      </c>
      <c r="B23" s="265">
        <v>1</v>
      </c>
      <c r="C23" s="239" t="s">
        <v>1034</v>
      </c>
      <c r="D23" s="270">
        <v>0</v>
      </c>
      <c r="E23" s="266">
        <f t="shared" si="0"/>
        <v>0</v>
      </c>
    </row>
    <row r="24" spans="1:5" x14ac:dyDescent="0.25">
      <c r="A24" s="275" t="s">
        <v>1035</v>
      </c>
      <c r="B24" s="276">
        <v>31</v>
      </c>
      <c r="C24" s="240" t="s">
        <v>1036</v>
      </c>
      <c r="D24" s="270">
        <v>0</v>
      </c>
      <c r="E24" s="266">
        <f t="shared" si="0"/>
        <v>0</v>
      </c>
    </row>
    <row r="25" spans="1:5" x14ac:dyDescent="0.25">
      <c r="A25" s="275" t="s">
        <v>1037</v>
      </c>
      <c r="B25" s="276">
        <v>12</v>
      </c>
      <c r="C25" s="240" t="s">
        <v>1038</v>
      </c>
      <c r="D25" s="270">
        <v>0</v>
      </c>
      <c r="E25" s="266">
        <f t="shared" si="0"/>
        <v>0</v>
      </c>
    </row>
    <row r="26" spans="1:5" x14ac:dyDescent="0.25">
      <c r="A26" s="275" t="s">
        <v>1039</v>
      </c>
      <c r="B26" s="276">
        <v>10</v>
      </c>
      <c r="C26" s="240" t="s">
        <v>1040</v>
      </c>
      <c r="D26" s="270">
        <v>0</v>
      </c>
      <c r="E26" s="266">
        <f t="shared" si="0"/>
        <v>0</v>
      </c>
    </row>
    <row r="27" spans="1:5" x14ac:dyDescent="0.25">
      <c r="A27" s="275" t="s">
        <v>1041</v>
      </c>
      <c r="B27" s="276">
        <v>10</v>
      </c>
      <c r="C27" s="240" t="s">
        <v>1042</v>
      </c>
      <c r="D27" s="270">
        <v>0</v>
      </c>
      <c r="E27" s="266">
        <f t="shared" si="0"/>
        <v>0</v>
      </c>
    </row>
    <row r="28" spans="1:5" x14ac:dyDescent="0.25">
      <c r="A28" s="275" t="s">
        <v>1043</v>
      </c>
      <c r="B28" s="276">
        <v>10</v>
      </c>
      <c r="C28" s="240" t="s">
        <v>1044</v>
      </c>
      <c r="D28" s="270">
        <v>0</v>
      </c>
      <c r="E28" s="266">
        <f t="shared" si="0"/>
        <v>0</v>
      </c>
    </row>
    <row r="29" spans="1:5" x14ac:dyDescent="0.25">
      <c r="A29" s="275" t="s">
        <v>1045</v>
      </c>
      <c r="B29" s="276">
        <v>5</v>
      </c>
      <c r="C29" s="240" t="s">
        <v>1046</v>
      </c>
      <c r="D29" s="270">
        <v>0</v>
      </c>
      <c r="E29" s="266">
        <f t="shared" si="0"/>
        <v>0</v>
      </c>
    </row>
    <row r="30" spans="1:5" x14ac:dyDescent="0.25">
      <c r="A30" s="275" t="s">
        <v>1047</v>
      </c>
      <c r="B30" s="276">
        <v>1</v>
      </c>
      <c r="C30" s="240" t="s">
        <v>1048</v>
      </c>
      <c r="D30" s="270">
        <v>0</v>
      </c>
      <c r="E30" s="266">
        <f t="shared" si="0"/>
        <v>0</v>
      </c>
    </row>
    <row r="31" spans="1:5" x14ac:dyDescent="0.25">
      <c r="A31" s="275" t="s">
        <v>1049</v>
      </c>
      <c r="B31" s="276">
        <v>5</v>
      </c>
      <c r="C31" s="240" t="s">
        <v>1050</v>
      </c>
      <c r="D31" s="270">
        <v>0</v>
      </c>
      <c r="E31" s="266">
        <f t="shared" si="0"/>
        <v>0</v>
      </c>
    </row>
    <row r="32" spans="1:5" x14ac:dyDescent="0.25">
      <c r="A32" s="275" t="s">
        <v>1051</v>
      </c>
      <c r="B32" s="276">
        <v>2</v>
      </c>
      <c r="C32" s="240" t="s">
        <v>1052</v>
      </c>
      <c r="D32" s="270">
        <v>0</v>
      </c>
      <c r="E32" s="266">
        <f t="shared" si="0"/>
        <v>0</v>
      </c>
    </row>
    <row r="33" spans="1:5" x14ac:dyDescent="0.25">
      <c r="A33" s="275" t="s">
        <v>1053</v>
      </c>
      <c r="B33" s="276">
        <v>1</v>
      </c>
      <c r="C33" s="240" t="s">
        <v>1054</v>
      </c>
      <c r="D33" s="270">
        <v>0</v>
      </c>
      <c r="E33" s="266">
        <f t="shared" si="0"/>
        <v>0</v>
      </c>
    </row>
    <row r="34" spans="1:5" x14ac:dyDescent="0.25">
      <c r="A34" s="275" t="s">
        <v>1055</v>
      </c>
      <c r="B34" s="276">
        <v>5</v>
      </c>
      <c r="C34" s="240" t="s">
        <v>1056</v>
      </c>
      <c r="D34" s="270">
        <v>0</v>
      </c>
      <c r="E34" s="266">
        <f t="shared" si="0"/>
        <v>0</v>
      </c>
    </row>
    <row r="35" spans="1:5" x14ac:dyDescent="0.25">
      <c r="A35" s="269" t="s">
        <v>1057</v>
      </c>
      <c r="B35" s="276">
        <v>4</v>
      </c>
      <c r="C35" s="239" t="s">
        <v>1058</v>
      </c>
      <c r="D35" s="270">
        <v>0</v>
      </c>
      <c r="E35" s="266">
        <f t="shared" si="0"/>
        <v>0</v>
      </c>
    </row>
    <row r="36" spans="1:5" x14ac:dyDescent="0.25">
      <c r="A36" s="269" t="s">
        <v>1059</v>
      </c>
      <c r="B36" s="276">
        <v>4</v>
      </c>
      <c r="C36" s="239" t="s">
        <v>1060</v>
      </c>
      <c r="D36" s="270">
        <v>0</v>
      </c>
      <c r="E36" s="266">
        <f t="shared" si="0"/>
        <v>0</v>
      </c>
    </row>
    <row r="37" spans="1:5" x14ac:dyDescent="0.25">
      <c r="A37" s="275" t="s">
        <v>1061</v>
      </c>
      <c r="B37" s="276">
        <v>4</v>
      </c>
      <c r="C37" s="240" t="s">
        <v>1062</v>
      </c>
      <c r="D37" s="270">
        <v>0</v>
      </c>
      <c r="E37" s="266">
        <f t="shared" si="0"/>
        <v>0</v>
      </c>
    </row>
    <row r="38" spans="1:5" x14ac:dyDescent="0.25">
      <c r="A38" s="269" t="s">
        <v>1063</v>
      </c>
      <c r="B38" s="276">
        <v>1</v>
      </c>
      <c r="C38" s="239" t="s">
        <v>1064</v>
      </c>
      <c r="D38" s="270">
        <v>0</v>
      </c>
      <c r="E38" s="266">
        <f t="shared" si="0"/>
        <v>0</v>
      </c>
    </row>
    <row r="39" spans="1:5" x14ac:dyDescent="0.25">
      <c r="A39" s="269" t="s">
        <v>1065</v>
      </c>
      <c r="B39" s="276">
        <v>1</v>
      </c>
      <c r="C39" s="239" t="s">
        <v>1066</v>
      </c>
      <c r="D39" s="270">
        <v>0</v>
      </c>
      <c r="E39" s="266">
        <f t="shared" si="0"/>
        <v>0</v>
      </c>
    </row>
    <row r="40" spans="1:5" x14ac:dyDescent="0.25">
      <c r="A40" s="269" t="s">
        <v>1067</v>
      </c>
      <c r="B40" s="265">
        <v>2</v>
      </c>
      <c r="C40" s="239" t="s">
        <v>1068</v>
      </c>
      <c r="D40" s="270">
        <v>0</v>
      </c>
      <c r="E40" s="266">
        <f t="shared" si="0"/>
        <v>0</v>
      </c>
    </row>
    <row r="41" spans="1:5" x14ac:dyDescent="0.25">
      <c r="A41" s="269" t="s">
        <v>1069</v>
      </c>
      <c r="B41" s="265">
        <v>1</v>
      </c>
      <c r="C41" s="239" t="s">
        <v>1070</v>
      </c>
      <c r="D41" s="270">
        <v>0</v>
      </c>
      <c r="E41" s="266">
        <f t="shared" si="0"/>
        <v>0</v>
      </c>
    </row>
    <row r="42" spans="1:5" x14ac:dyDescent="0.25">
      <c r="A42" s="269" t="s">
        <v>1071</v>
      </c>
      <c r="B42" s="265">
        <v>2</v>
      </c>
      <c r="C42" s="239" t="s">
        <v>1072</v>
      </c>
      <c r="D42" s="270">
        <v>0</v>
      </c>
      <c r="E42" s="266">
        <f t="shared" si="0"/>
        <v>0</v>
      </c>
    </row>
    <row r="43" spans="1:5" x14ac:dyDescent="0.25">
      <c r="A43" s="269" t="s">
        <v>1073</v>
      </c>
      <c r="B43" s="265">
        <v>1</v>
      </c>
      <c r="C43" s="239" t="s">
        <v>1074</v>
      </c>
      <c r="D43" s="270">
        <v>0</v>
      </c>
      <c r="E43" s="266">
        <f t="shared" si="0"/>
        <v>0</v>
      </c>
    </row>
    <row r="44" spans="1:5" x14ac:dyDescent="0.25">
      <c r="A44" s="269" t="s">
        <v>1075</v>
      </c>
      <c r="B44" s="265">
        <v>1</v>
      </c>
      <c r="C44" s="239" t="s">
        <v>1076</v>
      </c>
      <c r="D44" s="270">
        <v>0</v>
      </c>
      <c r="E44" s="266">
        <f t="shared" si="0"/>
        <v>0</v>
      </c>
    </row>
    <row r="45" spans="1:5" x14ac:dyDescent="0.25">
      <c r="A45" s="269" t="s">
        <v>1077</v>
      </c>
      <c r="B45" s="265">
        <v>3</v>
      </c>
      <c r="C45" s="239" t="s">
        <v>1078</v>
      </c>
      <c r="D45" s="270">
        <v>0</v>
      </c>
      <c r="E45" s="266">
        <f t="shared" si="0"/>
        <v>0</v>
      </c>
    </row>
    <row r="46" spans="1:5" x14ac:dyDescent="0.25">
      <c r="A46" s="269" t="s">
        <v>1079</v>
      </c>
      <c r="B46" s="265">
        <v>1</v>
      </c>
      <c r="C46" s="239" t="s">
        <v>1080</v>
      </c>
      <c r="D46" s="270">
        <v>0</v>
      </c>
      <c r="E46" s="266">
        <f t="shared" si="0"/>
        <v>0</v>
      </c>
    </row>
    <row r="47" spans="1:5" x14ac:dyDescent="0.25">
      <c r="A47" s="269" t="s">
        <v>1081</v>
      </c>
      <c r="B47" s="265">
        <v>1</v>
      </c>
      <c r="C47" s="239" t="s">
        <v>1082</v>
      </c>
      <c r="D47" s="270">
        <v>0</v>
      </c>
      <c r="E47" s="266">
        <f t="shared" si="0"/>
        <v>0</v>
      </c>
    </row>
    <row r="48" spans="1:5" x14ac:dyDescent="0.25">
      <c r="A48" s="269" t="s">
        <v>1083</v>
      </c>
      <c r="B48" s="265">
        <v>1</v>
      </c>
      <c r="C48" s="239" t="s">
        <v>1084</v>
      </c>
      <c r="D48" s="270">
        <v>0</v>
      </c>
      <c r="E48" s="266">
        <f t="shared" si="0"/>
        <v>0</v>
      </c>
    </row>
    <row r="49" spans="1:5" x14ac:dyDescent="0.25">
      <c r="A49" s="269" t="s">
        <v>1085</v>
      </c>
      <c r="B49" s="265">
        <v>1</v>
      </c>
      <c r="C49" s="239" t="s">
        <v>1086</v>
      </c>
      <c r="D49" s="270">
        <v>0</v>
      </c>
      <c r="E49" s="266">
        <f t="shared" si="0"/>
        <v>0</v>
      </c>
    </row>
    <row r="50" spans="1:5" x14ac:dyDescent="0.25">
      <c r="A50" s="269" t="s">
        <v>1087</v>
      </c>
      <c r="B50" s="265">
        <v>1</v>
      </c>
      <c r="C50" s="239" t="s">
        <v>1088</v>
      </c>
      <c r="D50" s="270">
        <v>0</v>
      </c>
      <c r="E50" s="266">
        <f t="shared" si="0"/>
        <v>0</v>
      </c>
    </row>
    <row r="51" spans="1:5" x14ac:dyDescent="0.25">
      <c r="A51" s="269" t="s">
        <v>1089</v>
      </c>
      <c r="B51" s="265">
        <v>1</v>
      </c>
      <c r="C51" s="239" t="s">
        <v>1090</v>
      </c>
      <c r="D51" s="270">
        <v>0</v>
      </c>
      <c r="E51" s="266">
        <f t="shared" si="0"/>
        <v>0</v>
      </c>
    </row>
    <row r="52" spans="1:5" x14ac:dyDescent="0.25">
      <c r="E52" s="279">
        <f>SUM(E4:E51)</f>
        <v>0</v>
      </c>
    </row>
  </sheetData>
  <printOptions horizontalCentered="1"/>
  <pageMargins left="0.51181102362204722" right="0.51181102362204722" top="0.78740157480314965" bottom="0.78740157480314965" header="0.31496062992125984" footer="0.51181102362204722"/>
  <pageSetup paperSize="9" scale="86" fitToHeight="5" orientation="landscape" r:id="rId1"/>
  <headerFooter>
    <oddHeader>&amp;R
KV-2225-G1-3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5"/>
  <sheetViews>
    <sheetView topLeftCell="A7" workbookViewId="0">
      <selection activeCell="J66" sqref="J66"/>
    </sheetView>
  </sheetViews>
  <sheetFormatPr defaultRowHeight="12.75" x14ac:dyDescent="0.25"/>
  <cols>
    <col min="1" max="1" width="88.5703125" style="241" customWidth="1"/>
    <col min="2" max="2" width="2.85546875" style="277" bestFit="1" customWidth="1"/>
    <col min="3" max="3" width="27.28515625" style="241" bestFit="1" customWidth="1"/>
    <col min="4" max="4" width="16.140625" style="278" customWidth="1"/>
    <col min="5" max="5" width="17.42578125" style="278" customWidth="1"/>
    <col min="6" max="256" width="9.140625" style="241"/>
    <col min="257" max="257" width="88.5703125" style="241" customWidth="1"/>
    <col min="258" max="258" width="2.85546875" style="241" bestFit="1" customWidth="1"/>
    <col min="259" max="259" width="27.28515625" style="241" bestFit="1" customWidth="1"/>
    <col min="260" max="260" width="16.140625" style="241" customWidth="1"/>
    <col min="261" max="261" width="17.42578125" style="241" customWidth="1"/>
    <col min="262" max="512" width="9.140625" style="241"/>
    <col min="513" max="513" width="88.5703125" style="241" customWidth="1"/>
    <col min="514" max="514" width="2.85546875" style="241" bestFit="1" customWidth="1"/>
    <col min="515" max="515" width="27.28515625" style="241" bestFit="1" customWidth="1"/>
    <col min="516" max="516" width="16.140625" style="241" customWidth="1"/>
    <col min="517" max="517" width="17.42578125" style="241" customWidth="1"/>
    <col min="518" max="768" width="9.140625" style="241"/>
    <col min="769" max="769" width="88.5703125" style="241" customWidth="1"/>
    <col min="770" max="770" width="2.85546875" style="241" bestFit="1" customWidth="1"/>
    <col min="771" max="771" width="27.28515625" style="241" bestFit="1" customWidth="1"/>
    <col min="772" max="772" width="16.140625" style="241" customWidth="1"/>
    <col min="773" max="773" width="17.42578125" style="241" customWidth="1"/>
    <col min="774" max="1024" width="9.140625" style="241"/>
    <col min="1025" max="1025" width="88.5703125" style="241" customWidth="1"/>
    <col min="1026" max="1026" width="2.85546875" style="241" bestFit="1" customWidth="1"/>
    <col min="1027" max="1027" width="27.28515625" style="241" bestFit="1" customWidth="1"/>
    <col min="1028" max="1028" width="16.140625" style="241" customWidth="1"/>
    <col min="1029" max="1029" width="17.42578125" style="241" customWidth="1"/>
    <col min="1030" max="1280" width="9.140625" style="241"/>
    <col min="1281" max="1281" width="88.5703125" style="241" customWidth="1"/>
    <col min="1282" max="1282" width="2.85546875" style="241" bestFit="1" customWidth="1"/>
    <col min="1283" max="1283" width="27.28515625" style="241" bestFit="1" customWidth="1"/>
    <col min="1284" max="1284" width="16.140625" style="241" customWidth="1"/>
    <col min="1285" max="1285" width="17.42578125" style="241" customWidth="1"/>
    <col min="1286" max="1536" width="9.140625" style="241"/>
    <col min="1537" max="1537" width="88.5703125" style="241" customWidth="1"/>
    <col min="1538" max="1538" width="2.85546875" style="241" bestFit="1" customWidth="1"/>
    <col min="1539" max="1539" width="27.28515625" style="241" bestFit="1" customWidth="1"/>
    <col min="1540" max="1540" width="16.140625" style="241" customWidth="1"/>
    <col min="1541" max="1541" width="17.42578125" style="241" customWidth="1"/>
    <col min="1542" max="1792" width="9.140625" style="241"/>
    <col min="1793" max="1793" width="88.5703125" style="241" customWidth="1"/>
    <col min="1794" max="1794" width="2.85546875" style="241" bestFit="1" customWidth="1"/>
    <col min="1795" max="1795" width="27.28515625" style="241" bestFit="1" customWidth="1"/>
    <col min="1796" max="1796" width="16.140625" style="241" customWidth="1"/>
    <col min="1797" max="1797" width="17.42578125" style="241" customWidth="1"/>
    <col min="1798" max="2048" width="9.140625" style="241"/>
    <col min="2049" max="2049" width="88.5703125" style="241" customWidth="1"/>
    <col min="2050" max="2050" width="2.85546875" style="241" bestFit="1" customWidth="1"/>
    <col min="2051" max="2051" width="27.28515625" style="241" bestFit="1" customWidth="1"/>
    <col min="2052" max="2052" width="16.140625" style="241" customWidth="1"/>
    <col min="2053" max="2053" width="17.42578125" style="241" customWidth="1"/>
    <col min="2054" max="2304" width="9.140625" style="241"/>
    <col min="2305" max="2305" width="88.5703125" style="241" customWidth="1"/>
    <col min="2306" max="2306" width="2.85546875" style="241" bestFit="1" customWidth="1"/>
    <col min="2307" max="2307" width="27.28515625" style="241" bestFit="1" customWidth="1"/>
    <col min="2308" max="2308" width="16.140625" style="241" customWidth="1"/>
    <col min="2309" max="2309" width="17.42578125" style="241" customWidth="1"/>
    <col min="2310" max="2560" width="9.140625" style="241"/>
    <col min="2561" max="2561" width="88.5703125" style="241" customWidth="1"/>
    <col min="2562" max="2562" width="2.85546875" style="241" bestFit="1" customWidth="1"/>
    <col min="2563" max="2563" width="27.28515625" style="241" bestFit="1" customWidth="1"/>
    <col min="2564" max="2564" width="16.140625" style="241" customWidth="1"/>
    <col min="2565" max="2565" width="17.42578125" style="241" customWidth="1"/>
    <col min="2566" max="2816" width="9.140625" style="241"/>
    <col min="2817" max="2817" width="88.5703125" style="241" customWidth="1"/>
    <col min="2818" max="2818" width="2.85546875" style="241" bestFit="1" customWidth="1"/>
    <col min="2819" max="2819" width="27.28515625" style="241" bestFit="1" customWidth="1"/>
    <col min="2820" max="2820" width="16.140625" style="241" customWidth="1"/>
    <col min="2821" max="2821" width="17.42578125" style="241" customWidth="1"/>
    <col min="2822" max="3072" width="9.140625" style="241"/>
    <col min="3073" max="3073" width="88.5703125" style="241" customWidth="1"/>
    <col min="3074" max="3074" width="2.85546875" style="241" bestFit="1" customWidth="1"/>
    <col min="3075" max="3075" width="27.28515625" style="241" bestFit="1" customWidth="1"/>
    <col min="3076" max="3076" width="16.140625" style="241" customWidth="1"/>
    <col min="3077" max="3077" width="17.42578125" style="241" customWidth="1"/>
    <col min="3078" max="3328" width="9.140625" style="241"/>
    <col min="3329" max="3329" width="88.5703125" style="241" customWidth="1"/>
    <col min="3330" max="3330" width="2.85546875" style="241" bestFit="1" customWidth="1"/>
    <col min="3331" max="3331" width="27.28515625" style="241" bestFit="1" customWidth="1"/>
    <col min="3332" max="3332" width="16.140625" style="241" customWidth="1"/>
    <col min="3333" max="3333" width="17.42578125" style="241" customWidth="1"/>
    <col min="3334" max="3584" width="9.140625" style="241"/>
    <col min="3585" max="3585" width="88.5703125" style="241" customWidth="1"/>
    <col min="3586" max="3586" width="2.85546875" style="241" bestFit="1" customWidth="1"/>
    <col min="3587" max="3587" width="27.28515625" style="241" bestFit="1" customWidth="1"/>
    <col min="3588" max="3588" width="16.140625" style="241" customWidth="1"/>
    <col min="3589" max="3589" width="17.42578125" style="241" customWidth="1"/>
    <col min="3590" max="3840" width="9.140625" style="241"/>
    <col min="3841" max="3841" width="88.5703125" style="241" customWidth="1"/>
    <col min="3842" max="3842" width="2.85546875" style="241" bestFit="1" customWidth="1"/>
    <col min="3843" max="3843" width="27.28515625" style="241" bestFit="1" customWidth="1"/>
    <col min="3844" max="3844" width="16.140625" style="241" customWidth="1"/>
    <col min="3845" max="3845" width="17.42578125" style="241" customWidth="1"/>
    <col min="3846" max="4096" width="9.140625" style="241"/>
    <col min="4097" max="4097" width="88.5703125" style="241" customWidth="1"/>
    <col min="4098" max="4098" width="2.85546875" style="241" bestFit="1" customWidth="1"/>
    <col min="4099" max="4099" width="27.28515625" style="241" bestFit="1" customWidth="1"/>
    <col min="4100" max="4100" width="16.140625" style="241" customWidth="1"/>
    <col min="4101" max="4101" width="17.42578125" style="241" customWidth="1"/>
    <col min="4102" max="4352" width="9.140625" style="241"/>
    <col min="4353" max="4353" width="88.5703125" style="241" customWidth="1"/>
    <col min="4354" max="4354" width="2.85546875" style="241" bestFit="1" customWidth="1"/>
    <col min="4355" max="4355" width="27.28515625" style="241" bestFit="1" customWidth="1"/>
    <col min="4356" max="4356" width="16.140625" style="241" customWidth="1"/>
    <col min="4357" max="4357" width="17.42578125" style="241" customWidth="1"/>
    <col min="4358" max="4608" width="9.140625" style="241"/>
    <col min="4609" max="4609" width="88.5703125" style="241" customWidth="1"/>
    <col min="4610" max="4610" width="2.85546875" style="241" bestFit="1" customWidth="1"/>
    <col min="4611" max="4611" width="27.28515625" style="241" bestFit="1" customWidth="1"/>
    <col min="4612" max="4612" width="16.140625" style="241" customWidth="1"/>
    <col min="4613" max="4613" width="17.42578125" style="241" customWidth="1"/>
    <col min="4614" max="4864" width="9.140625" style="241"/>
    <col min="4865" max="4865" width="88.5703125" style="241" customWidth="1"/>
    <col min="4866" max="4866" width="2.85546875" style="241" bestFit="1" customWidth="1"/>
    <col min="4867" max="4867" width="27.28515625" style="241" bestFit="1" customWidth="1"/>
    <col min="4868" max="4868" width="16.140625" style="241" customWidth="1"/>
    <col min="4869" max="4869" width="17.42578125" style="241" customWidth="1"/>
    <col min="4870" max="5120" width="9.140625" style="241"/>
    <col min="5121" max="5121" width="88.5703125" style="241" customWidth="1"/>
    <col min="5122" max="5122" width="2.85546875" style="241" bestFit="1" customWidth="1"/>
    <col min="5123" max="5123" width="27.28515625" style="241" bestFit="1" customWidth="1"/>
    <col min="5124" max="5124" width="16.140625" style="241" customWidth="1"/>
    <col min="5125" max="5125" width="17.42578125" style="241" customWidth="1"/>
    <col min="5126" max="5376" width="9.140625" style="241"/>
    <col min="5377" max="5377" width="88.5703125" style="241" customWidth="1"/>
    <col min="5378" max="5378" width="2.85546875" style="241" bestFit="1" customWidth="1"/>
    <col min="5379" max="5379" width="27.28515625" style="241" bestFit="1" customWidth="1"/>
    <col min="5380" max="5380" width="16.140625" style="241" customWidth="1"/>
    <col min="5381" max="5381" width="17.42578125" style="241" customWidth="1"/>
    <col min="5382" max="5632" width="9.140625" style="241"/>
    <col min="5633" max="5633" width="88.5703125" style="241" customWidth="1"/>
    <col min="5634" max="5634" width="2.85546875" style="241" bestFit="1" customWidth="1"/>
    <col min="5635" max="5635" width="27.28515625" style="241" bestFit="1" customWidth="1"/>
    <col min="5636" max="5636" width="16.140625" style="241" customWidth="1"/>
    <col min="5637" max="5637" width="17.42578125" style="241" customWidth="1"/>
    <col min="5638" max="5888" width="9.140625" style="241"/>
    <col min="5889" max="5889" width="88.5703125" style="241" customWidth="1"/>
    <col min="5890" max="5890" width="2.85546875" style="241" bestFit="1" customWidth="1"/>
    <col min="5891" max="5891" width="27.28515625" style="241" bestFit="1" customWidth="1"/>
    <col min="5892" max="5892" width="16.140625" style="241" customWidth="1"/>
    <col min="5893" max="5893" width="17.42578125" style="241" customWidth="1"/>
    <col min="5894" max="6144" width="9.140625" style="241"/>
    <col min="6145" max="6145" width="88.5703125" style="241" customWidth="1"/>
    <col min="6146" max="6146" width="2.85546875" style="241" bestFit="1" customWidth="1"/>
    <col min="6147" max="6147" width="27.28515625" style="241" bestFit="1" customWidth="1"/>
    <col min="6148" max="6148" width="16.140625" style="241" customWidth="1"/>
    <col min="6149" max="6149" width="17.42578125" style="241" customWidth="1"/>
    <col min="6150" max="6400" width="9.140625" style="241"/>
    <col min="6401" max="6401" width="88.5703125" style="241" customWidth="1"/>
    <col min="6402" max="6402" width="2.85546875" style="241" bestFit="1" customWidth="1"/>
    <col min="6403" max="6403" width="27.28515625" style="241" bestFit="1" customWidth="1"/>
    <col min="6404" max="6404" width="16.140625" style="241" customWidth="1"/>
    <col min="6405" max="6405" width="17.42578125" style="241" customWidth="1"/>
    <col min="6406" max="6656" width="9.140625" style="241"/>
    <col min="6657" max="6657" width="88.5703125" style="241" customWidth="1"/>
    <col min="6658" max="6658" width="2.85546875" style="241" bestFit="1" customWidth="1"/>
    <col min="6659" max="6659" width="27.28515625" style="241" bestFit="1" customWidth="1"/>
    <col min="6660" max="6660" width="16.140625" style="241" customWidth="1"/>
    <col min="6661" max="6661" width="17.42578125" style="241" customWidth="1"/>
    <col min="6662" max="6912" width="9.140625" style="241"/>
    <col min="6913" max="6913" width="88.5703125" style="241" customWidth="1"/>
    <col min="6914" max="6914" width="2.85546875" style="241" bestFit="1" customWidth="1"/>
    <col min="6915" max="6915" width="27.28515625" style="241" bestFit="1" customWidth="1"/>
    <col min="6916" max="6916" width="16.140625" style="241" customWidth="1"/>
    <col min="6917" max="6917" width="17.42578125" style="241" customWidth="1"/>
    <col min="6918" max="7168" width="9.140625" style="241"/>
    <col min="7169" max="7169" width="88.5703125" style="241" customWidth="1"/>
    <col min="7170" max="7170" width="2.85546875" style="241" bestFit="1" customWidth="1"/>
    <col min="7171" max="7171" width="27.28515625" style="241" bestFit="1" customWidth="1"/>
    <col min="7172" max="7172" width="16.140625" style="241" customWidth="1"/>
    <col min="7173" max="7173" width="17.42578125" style="241" customWidth="1"/>
    <col min="7174" max="7424" width="9.140625" style="241"/>
    <col min="7425" max="7425" width="88.5703125" style="241" customWidth="1"/>
    <col min="7426" max="7426" width="2.85546875" style="241" bestFit="1" customWidth="1"/>
    <col min="7427" max="7427" width="27.28515625" style="241" bestFit="1" customWidth="1"/>
    <col min="7428" max="7428" width="16.140625" style="241" customWidth="1"/>
    <col min="7429" max="7429" width="17.42578125" style="241" customWidth="1"/>
    <col min="7430" max="7680" width="9.140625" style="241"/>
    <col min="7681" max="7681" width="88.5703125" style="241" customWidth="1"/>
    <col min="7682" max="7682" width="2.85546875" style="241" bestFit="1" customWidth="1"/>
    <col min="7683" max="7683" width="27.28515625" style="241" bestFit="1" customWidth="1"/>
    <col min="7684" max="7684" width="16.140625" style="241" customWidth="1"/>
    <col min="7685" max="7685" width="17.42578125" style="241" customWidth="1"/>
    <col min="7686" max="7936" width="9.140625" style="241"/>
    <col min="7937" max="7937" width="88.5703125" style="241" customWidth="1"/>
    <col min="7938" max="7938" width="2.85546875" style="241" bestFit="1" customWidth="1"/>
    <col min="7939" max="7939" width="27.28515625" style="241" bestFit="1" customWidth="1"/>
    <col min="7940" max="7940" width="16.140625" style="241" customWidth="1"/>
    <col min="7941" max="7941" width="17.42578125" style="241" customWidth="1"/>
    <col min="7942" max="8192" width="9.140625" style="241"/>
    <col min="8193" max="8193" width="88.5703125" style="241" customWidth="1"/>
    <col min="8194" max="8194" width="2.85546875" style="241" bestFit="1" customWidth="1"/>
    <col min="8195" max="8195" width="27.28515625" style="241" bestFit="1" customWidth="1"/>
    <col min="8196" max="8196" width="16.140625" style="241" customWidth="1"/>
    <col min="8197" max="8197" width="17.42578125" style="241" customWidth="1"/>
    <col min="8198" max="8448" width="9.140625" style="241"/>
    <col min="8449" max="8449" width="88.5703125" style="241" customWidth="1"/>
    <col min="8450" max="8450" width="2.85546875" style="241" bestFit="1" customWidth="1"/>
    <col min="8451" max="8451" width="27.28515625" style="241" bestFit="1" customWidth="1"/>
    <col min="8452" max="8452" width="16.140625" style="241" customWidth="1"/>
    <col min="8453" max="8453" width="17.42578125" style="241" customWidth="1"/>
    <col min="8454" max="8704" width="9.140625" style="241"/>
    <col min="8705" max="8705" width="88.5703125" style="241" customWidth="1"/>
    <col min="8706" max="8706" width="2.85546875" style="241" bestFit="1" customWidth="1"/>
    <col min="8707" max="8707" width="27.28515625" style="241" bestFit="1" customWidth="1"/>
    <col min="8708" max="8708" width="16.140625" style="241" customWidth="1"/>
    <col min="8709" max="8709" width="17.42578125" style="241" customWidth="1"/>
    <col min="8710" max="8960" width="9.140625" style="241"/>
    <col min="8961" max="8961" width="88.5703125" style="241" customWidth="1"/>
    <col min="8962" max="8962" width="2.85546875" style="241" bestFit="1" customWidth="1"/>
    <col min="8963" max="8963" width="27.28515625" style="241" bestFit="1" customWidth="1"/>
    <col min="8964" max="8964" width="16.140625" style="241" customWidth="1"/>
    <col min="8965" max="8965" width="17.42578125" style="241" customWidth="1"/>
    <col min="8966" max="9216" width="9.140625" style="241"/>
    <col min="9217" max="9217" width="88.5703125" style="241" customWidth="1"/>
    <col min="9218" max="9218" width="2.85546875" style="241" bestFit="1" customWidth="1"/>
    <col min="9219" max="9219" width="27.28515625" style="241" bestFit="1" customWidth="1"/>
    <col min="9220" max="9220" width="16.140625" style="241" customWidth="1"/>
    <col min="9221" max="9221" width="17.42578125" style="241" customWidth="1"/>
    <col min="9222" max="9472" width="9.140625" style="241"/>
    <col min="9473" max="9473" width="88.5703125" style="241" customWidth="1"/>
    <col min="9474" max="9474" width="2.85546875" style="241" bestFit="1" customWidth="1"/>
    <col min="9475" max="9475" width="27.28515625" style="241" bestFit="1" customWidth="1"/>
    <col min="9476" max="9476" width="16.140625" style="241" customWidth="1"/>
    <col min="9477" max="9477" width="17.42578125" style="241" customWidth="1"/>
    <col min="9478" max="9728" width="9.140625" style="241"/>
    <col min="9729" max="9729" width="88.5703125" style="241" customWidth="1"/>
    <col min="9730" max="9730" width="2.85546875" style="241" bestFit="1" customWidth="1"/>
    <col min="9731" max="9731" width="27.28515625" style="241" bestFit="1" customWidth="1"/>
    <col min="9732" max="9732" width="16.140625" style="241" customWidth="1"/>
    <col min="9733" max="9733" width="17.42578125" style="241" customWidth="1"/>
    <col min="9734" max="9984" width="9.140625" style="241"/>
    <col min="9985" max="9985" width="88.5703125" style="241" customWidth="1"/>
    <col min="9986" max="9986" width="2.85546875" style="241" bestFit="1" customWidth="1"/>
    <col min="9987" max="9987" width="27.28515625" style="241" bestFit="1" customWidth="1"/>
    <col min="9988" max="9988" width="16.140625" style="241" customWidth="1"/>
    <col min="9989" max="9989" width="17.42578125" style="241" customWidth="1"/>
    <col min="9990" max="10240" width="9.140625" style="241"/>
    <col min="10241" max="10241" width="88.5703125" style="241" customWidth="1"/>
    <col min="10242" max="10242" width="2.85546875" style="241" bestFit="1" customWidth="1"/>
    <col min="10243" max="10243" width="27.28515625" style="241" bestFit="1" customWidth="1"/>
    <col min="10244" max="10244" width="16.140625" style="241" customWidth="1"/>
    <col min="10245" max="10245" width="17.42578125" style="241" customWidth="1"/>
    <col min="10246" max="10496" width="9.140625" style="241"/>
    <col min="10497" max="10497" width="88.5703125" style="241" customWidth="1"/>
    <col min="10498" max="10498" width="2.85546875" style="241" bestFit="1" customWidth="1"/>
    <col min="10499" max="10499" width="27.28515625" style="241" bestFit="1" customWidth="1"/>
    <col min="10500" max="10500" width="16.140625" style="241" customWidth="1"/>
    <col min="10501" max="10501" width="17.42578125" style="241" customWidth="1"/>
    <col min="10502" max="10752" width="9.140625" style="241"/>
    <col min="10753" max="10753" width="88.5703125" style="241" customWidth="1"/>
    <col min="10754" max="10754" width="2.85546875" style="241" bestFit="1" customWidth="1"/>
    <col min="10755" max="10755" width="27.28515625" style="241" bestFit="1" customWidth="1"/>
    <col min="10756" max="10756" width="16.140625" style="241" customWidth="1"/>
    <col min="10757" max="10757" width="17.42578125" style="241" customWidth="1"/>
    <col min="10758" max="11008" width="9.140625" style="241"/>
    <col min="11009" max="11009" width="88.5703125" style="241" customWidth="1"/>
    <col min="11010" max="11010" width="2.85546875" style="241" bestFit="1" customWidth="1"/>
    <col min="11011" max="11011" width="27.28515625" style="241" bestFit="1" customWidth="1"/>
    <col min="11012" max="11012" width="16.140625" style="241" customWidth="1"/>
    <col min="11013" max="11013" width="17.42578125" style="241" customWidth="1"/>
    <col min="11014" max="11264" width="9.140625" style="241"/>
    <col min="11265" max="11265" width="88.5703125" style="241" customWidth="1"/>
    <col min="11266" max="11266" width="2.85546875" style="241" bestFit="1" customWidth="1"/>
    <col min="11267" max="11267" width="27.28515625" style="241" bestFit="1" customWidth="1"/>
    <col min="11268" max="11268" width="16.140625" style="241" customWidth="1"/>
    <col min="11269" max="11269" width="17.42578125" style="241" customWidth="1"/>
    <col min="11270" max="11520" width="9.140625" style="241"/>
    <col min="11521" max="11521" width="88.5703125" style="241" customWidth="1"/>
    <col min="11522" max="11522" width="2.85546875" style="241" bestFit="1" customWidth="1"/>
    <col min="11523" max="11523" width="27.28515625" style="241" bestFit="1" customWidth="1"/>
    <col min="11524" max="11524" width="16.140625" style="241" customWidth="1"/>
    <col min="11525" max="11525" width="17.42578125" style="241" customWidth="1"/>
    <col min="11526" max="11776" width="9.140625" style="241"/>
    <col min="11777" max="11777" width="88.5703125" style="241" customWidth="1"/>
    <col min="11778" max="11778" width="2.85546875" style="241" bestFit="1" customWidth="1"/>
    <col min="11779" max="11779" width="27.28515625" style="241" bestFit="1" customWidth="1"/>
    <col min="11780" max="11780" width="16.140625" style="241" customWidth="1"/>
    <col min="11781" max="11781" width="17.42578125" style="241" customWidth="1"/>
    <col min="11782" max="12032" width="9.140625" style="241"/>
    <col min="12033" max="12033" width="88.5703125" style="241" customWidth="1"/>
    <col min="12034" max="12034" width="2.85546875" style="241" bestFit="1" customWidth="1"/>
    <col min="12035" max="12035" width="27.28515625" style="241" bestFit="1" customWidth="1"/>
    <col min="12036" max="12036" width="16.140625" style="241" customWidth="1"/>
    <col min="12037" max="12037" width="17.42578125" style="241" customWidth="1"/>
    <col min="12038" max="12288" width="9.140625" style="241"/>
    <col min="12289" max="12289" width="88.5703125" style="241" customWidth="1"/>
    <col min="12290" max="12290" width="2.85546875" style="241" bestFit="1" customWidth="1"/>
    <col min="12291" max="12291" width="27.28515625" style="241" bestFit="1" customWidth="1"/>
    <col min="12292" max="12292" width="16.140625" style="241" customWidth="1"/>
    <col min="12293" max="12293" width="17.42578125" style="241" customWidth="1"/>
    <col min="12294" max="12544" width="9.140625" style="241"/>
    <col min="12545" max="12545" width="88.5703125" style="241" customWidth="1"/>
    <col min="12546" max="12546" width="2.85546875" style="241" bestFit="1" customWidth="1"/>
    <col min="12547" max="12547" width="27.28515625" style="241" bestFit="1" customWidth="1"/>
    <col min="12548" max="12548" width="16.140625" style="241" customWidth="1"/>
    <col min="12549" max="12549" width="17.42578125" style="241" customWidth="1"/>
    <col min="12550" max="12800" width="9.140625" style="241"/>
    <col min="12801" max="12801" width="88.5703125" style="241" customWidth="1"/>
    <col min="12802" max="12802" width="2.85546875" style="241" bestFit="1" customWidth="1"/>
    <col min="12803" max="12803" width="27.28515625" style="241" bestFit="1" customWidth="1"/>
    <col min="12804" max="12804" width="16.140625" style="241" customWidth="1"/>
    <col min="12805" max="12805" width="17.42578125" style="241" customWidth="1"/>
    <col min="12806" max="13056" width="9.140625" style="241"/>
    <col min="13057" max="13057" width="88.5703125" style="241" customWidth="1"/>
    <col min="13058" max="13058" width="2.85546875" style="241" bestFit="1" customWidth="1"/>
    <col min="13059" max="13059" width="27.28515625" style="241" bestFit="1" customWidth="1"/>
    <col min="13060" max="13060" width="16.140625" style="241" customWidth="1"/>
    <col min="13061" max="13061" width="17.42578125" style="241" customWidth="1"/>
    <col min="13062" max="13312" width="9.140625" style="241"/>
    <col min="13313" max="13313" width="88.5703125" style="241" customWidth="1"/>
    <col min="13314" max="13314" width="2.85546875" style="241" bestFit="1" customWidth="1"/>
    <col min="13315" max="13315" width="27.28515625" style="241" bestFit="1" customWidth="1"/>
    <col min="13316" max="13316" width="16.140625" style="241" customWidth="1"/>
    <col min="13317" max="13317" width="17.42578125" style="241" customWidth="1"/>
    <col min="13318" max="13568" width="9.140625" style="241"/>
    <col min="13569" max="13569" width="88.5703125" style="241" customWidth="1"/>
    <col min="13570" max="13570" width="2.85546875" style="241" bestFit="1" customWidth="1"/>
    <col min="13571" max="13571" width="27.28515625" style="241" bestFit="1" customWidth="1"/>
    <col min="13572" max="13572" width="16.140625" style="241" customWidth="1"/>
    <col min="13573" max="13573" width="17.42578125" style="241" customWidth="1"/>
    <col min="13574" max="13824" width="9.140625" style="241"/>
    <col min="13825" max="13825" width="88.5703125" style="241" customWidth="1"/>
    <col min="13826" max="13826" width="2.85546875" style="241" bestFit="1" customWidth="1"/>
    <col min="13827" max="13827" width="27.28515625" style="241" bestFit="1" customWidth="1"/>
    <col min="13828" max="13828" width="16.140625" style="241" customWidth="1"/>
    <col min="13829" max="13829" width="17.42578125" style="241" customWidth="1"/>
    <col min="13830" max="14080" width="9.140625" style="241"/>
    <col min="14081" max="14081" width="88.5703125" style="241" customWidth="1"/>
    <col min="14082" max="14082" width="2.85546875" style="241" bestFit="1" customWidth="1"/>
    <col min="14083" max="14083" width="27.28515625" style="241" bestFit="1" customWidth="1"/>
    <col min="14084" max="14084" width="16.140625" style="241" customWidth="1"/>
    <col min="14085" max="14085" width="17.42578125" style="241" customWidth="1"/>
    <col min="14086" max="14336" width="9.140625" style="241"/>
    <col min="14337" max="14337" width="88.5703125" style="241" customWidth="1"/>
    <col min="14338" max="14338" width="2.85546875" style="241" bestFit="1" customWidth="1"/>
    <col min="14339" max="14339" width="27.28515625" style="241" bestFit="1" customWidth="1"/>
    <col min="14340" max="14340" width="16.140625" style="241" customWidth="1"/>
    <col min="14341" max="14341" width="17.42578125" style="241" customWidth="1"/>
    <col min="14342" max="14592" width="9.140625" style="241"/>
    <col min="14593" max="14593" width="88.5703125" style="241" customWidth="1"/>
    <col min="14594" max="14594" width="2.85546875" style="241" bestFit="1" customWidth="1"/>
    <col min="14595" max="14595" width="27.28515625" style="241" bestFit="1" customWidth="1"/>
    <col min="14596" max="14596" width="16.140625" style="241" customWidth="1"/>
    <col min="14597" max="14597" width="17.42578125" style="241" customWidth="1"/>
    <col min="14598" max="14848" width="9.140625" style="241"/>
    <col min="14849" max="14849" width="88.5703125" style="241" customWidth="1"/>
    <col min="14850" max="14850" width="2.85546875" style="241" bestFit="1" customWidth="1"/>
    <col min="14851" max="14851" width="27.28515625" style="241" bestFit="1" customWidth="1"/>
    <col min="14852" max="14852" width="16.140625" style="241" customWidth="1"/>
    <col min="14853" max="14853" width="17.42578125" style="241" customWidth="1"/>
    <col min="14854" max="15104" width="9.140625" style="241"/>
    <col min="15105" max="15105" width="88.5703125" style="241" customWidth="1"/>
    <col min="15106" max="15106" width="2.85546875" style="241" bestFit="1" customWidth="1"/>
    <col min="15107" max="15107" width="27.28515625" style="241" bestFit="1" customWidth="1"/>
    <col min="15108" max="15108" width="16.140625" style="241" customWidth="1"/>
    <col min="15109" max="15109" width="17.42578125" style="241" customWidth="1"/>
    <col min="15110" max="15360" width="9.140625" style="241"/>
    <col min="15361" max="15361" width="88.5703125" style="241" customWidth="1"/>
    <col min="15362" max="15362" width="2.85546875" style="241" bestFit="1" customWidth="1"/>
    <col min="15363" max="15363" width="27.28515625" style="241" bestFit="1" customWidth="1"/>
    <col min="15364" max="15364" width="16.140625" style="241" customWidth="1"/>
    <col min="15365" max="15365" width="17.42578125" style="241" customWidth="1"/>
    <col min="15366" max="15616" width="9.140625" style="241"/>
    <col min="15617" max="15617" width="88.5703125" style="241" customWidth="1"/>
    <col min="15618" max="15618" width="2.85546875" style="241" bestFit="1" customWidth="1"/>
    <col min="15619" max="15619" width="27.28515625" style="241" bestFit="1" customWidth="1"/>
    <col min="15620" max="15620" width="16.140625" style="241" customWidth="1"/>
    <col min="15621" max="15621" width="17.42578125" style="241" customWidth="1"/>
    <col min="15622" max="15872" width="9.140625" style="241"/>
    <col min="15873" max="15873" width="88.5703125" style="241" customWidth="1"/>
    <col min="15874" max="15874" width="2.85546875" style="241" bestFit="1" customWidth="1"/>
    <col min="15875" max="15875" width="27.28515625" style="241" bestFit="1" customWidth="1"/>
    <col min="15876" max="15876" width="16.140625" style="241" customWidth="1"/>
    <col min="15877" max="15877" width="17.42578125" style="241" customWidth="1"/>
    <col min="15878" max="16128" width="9.140625" style="241"/>
    <col min="16129" max="16129" width="88.5703125" style="241" customWidth="1"/>
    <col min="16130" max="16130" width="2.85546875" style="241" bestFit="1" customWidth="1"/>
    <col min="16131" max="16131" width="27.28515625" style="241" bestFit="1" customWidth="1"/>
    <col min="16132" max="16132" width="16.140625" style="241" customWidth="1"/>
    <col min="16133" max="16133" width="17.42578125" style="241" customWidth="1"/>
    <col min="16134" max="16384" width="9.140625" style="241"/>
  </cols>
  <sheetData>
    <row r="1" spans="1:5" s="253" customFormat="1" ht="15" x14ac:dyDescent="0.25">
      <c r="A1" s="253" t="str">
        <f>'SO 02'!A2</f>
        <v>Karlovy Vary, Výměna gravitačního řádu termominerální vody, SO 02 - Sdělovací a napájecí kabely</v>
      </c>
      <c r="B1" s="255"/>
      <c r="D1" s="256"/>
      <c r="E1" s="256"/>
    </row>
    <row r="2" spans="1:5" s="253" customFormat="1" ht="15.75" x14ac:dyDescent="0.25">
      <c r="A2" s="257" t="s">
        <v>1119</v>
      </c>
      <c r="B2" s="258"/>
      <c r="C2" s="254"/>
      <c r="D2" s="259"/>
      <c r="E2" s="259"/>
    </row>
    <row r="3" spans="1:5" x14ac:dyDescent="0.25">
      <c r="A3" s="260"/>
      <c r="B3" s="261"/>
      <c r="C3" s="237"/>
      <c r="D3" s="262" t="s">
        <v>1004</v>
      </c>
      <c r="E3" s="263" t="s">
        <v>1005</v>
      </c>
    </row>
    <row r="4" spans="1:5" ht="331.5" x14ac:dyDescent="0.25">
      <c r="A4" s="271" t="s">
        <v>1120</v>
      </c>
      <c r="B4" s="265">
        <v>1</v>
      </c>
      <c r="C4" s="238" t="s">
        <v>1121</v>
      </c>
      <c r="D4" s="270">
        <v>0</v>
      </c>
      <c r="E4" s="266">
        <f t="shared" ref="E4:E34" si="0">B4*D4</f>
        <v>0</v>
      </c>
    </row>
    <row r="5" spans="1:5" x14ac:dyDescent="0.25">
      <c r="A5" s="269" t="s">
        <v>1021</v>
      </c>
      <c r="B5" s="272">
        <v>1</v>
      </c>
      <c r="C5" s="239" t="s">
        <v>1022</v>
      </c>
      <c r="D5" s="270">
        <v>0</v>
      </c>
      <c r="E5" s="266">
        <f t="shared" si="0"/>
        <v>0</v>
      </c>
    </row>
    <row r="6" spans="1:5" x14ac:dyDescent="0.25">
      <c r="A6" s="269" t="s">
        <v>1023</v>
      </c>
      <c r="B6" s="272">
        <v>3</v>
      </c>
      <c r="C6" s="239" t="s">
        <v>1024</v>
      </c>
      <c r="D6" s="270">
        <v>0</v>
      </c>
      <c r="E6" s="266">
        <f t="shared" si="0"/>
        <v>0</v>
      </c>
    </row>
    <row r="7" spans="1:5" ht="15" x14ac:dyDescent="0.25">
      <c r="A7" s="280" t="s">
        <v>1122</v>
      </c>
      <c r="B7" s="272">
        <v>3</v>
      </c>
      <c r="C7" s="239"/>
      <c r="D7" s="270">
        <v>0</v>
      </c>
      <c r="E7" s="266">
        <f t="shared" si="0"/>
        <v>0</v>
      </c>
    </row>
    <row r="8" spans="1:5" ht="31.5" x14ac:dyDescent="0.25">
      <c r="A8" s="273" t="s">
        <v>1123</v>
      </c>
      <c r="B8" s="265">
        <v>4</v>
      </c>
      <c r="C8" s="238"/>
      <c r="D8" s="270">
        <v>0</v>
      </c>
      <c r="E8" s="266">
        <f t="shared" si="0"/>
        <v>0</v>
      </c>
    </row>
    <row r="9" spans="1:5" ht="31.5" x14ac:dyDescent="0.25">
      <c r="A9" s="273" t="s">
        <v>1124</v>
      </c>
      <c r="B9" s="265">
        <v>4</v>
      </c>
      <c r="C9" s="238"/>
      <c r="D9" s="270">
        <v>0</v>
      </c>
      <c r="E9" s="266">
        <f t="shared" si="0"/>
        <v>0</v>
      </c>
    </row>
    <row r="10" spans="1:5" ht="31.5" x14ac:dyDescent="0.25">
      <c r="A10" s="273" t="s">
        <v>1125</v>
      </c>
      <c r="B10" s="265">
        <v>4</v>
      </c>
      <c r="C10" s="238"/>
      <c r="D10" s="270">
        <v>0</v>
      </c>
      <c r="E10" s="266">
        <f>B10*D10</f>
        <v>0</v>
      </c>
    </row>
    <row r="11" spans="1:5" ht="15.75" x14ac:dyDescent="0.25">
      <c r="A11" s="273" t="s">
        <v>1027</v>
      </c>
      <c r="B11" s="265">
        <v>4</v>
      </c>
      <c r="C11" s="239" t="s">
        <v>1028</v>
      </c>
      <c r="D11" s="270">
        <v>0</v>
      </c>
      <c r="E11" s="266">
        <f t="shared" si="0"/>
        <v>0</v>
      </c>
    </row>
    <row r="12" spans="1:5" x14ac:dyDescent="0.25">
      <c r="A12" s="269" t="s">
        <v>1029</v>
      </c>
      <c r="B12" s="265">
        <v>6</v>
      </c>
      <c r="C12" s="238" t="s">
        <v>1030</v>
      </c>
      <c r="D12" s="270">
        <v>0</v>
      </c>
      <c r="E12" s="266">
        <f t="shared" si="0"/>
        <v>0</v>
      </c>
    </row>
    <row r="13" spans="1:5" ht="87.75" x14ac:dyDescent="0.25">
      <c r="A13" s="274" t="s">
        <v>1126</v>
      </c>
      <c r="B13" s="265">
        <v>1</v>
      </c>
      <c r="C13" s="239" t="s">
        <v>1031</v>
      </c>
      <c r="D13" s="270">
        <v>0</v>
      </c>
      <c r="E13" s="266">
        <f t="shared" si="0"/>
        <v>0</v>
      </c>
    </row>
    <row r="14" spans="1:5" ht="60" x14ac:dyDescent="0.25">
      <c r="A14" s="274" t="s">
        <v>1127</v>
      </c>
      <c r="B14" s="265">
        <v>1</v>
      </c>
      <c r="C14" s="239" t="s">
        <v>1032</v>
      </c>
      <c r="D14" s="270">
        <v>0</v>
      </c>
      <c r="E14" s="266">
        <f t="shared" si="0"/>
        <v>0</v>
      </c>
    </row>
    <row r="15" spans="1:5" ht="25.5" x14ac:dyDescent="0.25">
      <c r="A15" s="268" t="s">
        <v>1033</v>
      </c>
      <c r="B15" s="265">
        <v>1</v>
      </c>
      <c r="C15" s="239" t="s">
        <v>1034</v>
      </c>
      <c r="D15" s="270">
        <v>0</v>
      </c>
      <c r="E15" s="266">
        <f t="shared" si="0"/>
        <v>0</v>
      </c>
    </row>
    <row r="16" spans="1:5" x14ac:dyDescent="0.25">
      <c r="A16" s="275" t="s">
        <v>1035</v>
      </c>
      <c r="B16" s="276">
        <v>31</v>
      </c>
      <c r="C16" s="240" t="s">
        <v>1036</v>
      </c>
      <c r="D16" s="270">
        <v>0</v>
      </c>
      <c r="E16" s="266">
        <f t="shared" si="0"/>
        <v>0</v>
      </c>
    </row>
    <row r="17" spans="1:5" x14ac:dyDescent="0.25">
      <c r="A17" s="275" t="s">
        <v>1037</v>
      </c>
      <c r="B17" s="276">
        <v>12</v>
      </c>
      <c r="C17" s="240" t="s">
        <v>1038</v>
      </c>
      <c r="D17" s="270">
        <v>0</v>
      </c>
      <c r="E17" s="266">
        <f t="shared" si="0"/>
        <v>0</v>
      </c>
    </row>
    <row r="18" spans="1:5" x14ac:dyDescent="0.25">
      <c r="A18" s="275" t="s">
        <v>1039</v>
      </c>
      <c r="B18" s="276">
        <v>10</v>
      </c>
      <c r="C18" s="240" t="s">
        <v>1040</v>
      </c>
      <c r="D18" s="270">
        <v>0</v>
      </c>
      <c r="E18" s="266">
        <f t="shared" si="0"/>
        <v>0</v>
      </c>
    </row>
    <row r="19" spans="1:5" x14ac:dyDescent="0.25">
      <c r="A19" s="275" t="s">
        <v>1041</v>
      </c>
      <c r="B19" s="276">
        <v>10</v>
      </c>
      <c r="C19" s="240" t="s">
        <v>1042</v>
      </c>
      <c r="D19" s="270">
        <v>0</v>
      </c>
      <c r="E19" s="266">
        <f t="shared" si="0"/>
        <v>0</v>
      </c>
    </row>
    <row r="20" spans="1:5" x14ac:dyDescent="0.25">
      <c r="A20" s="275" t="s">
        <v>1043</v>
      </c>
      <c r="B20" s="276">
        <v>10</v>
      </c>
      <c r="C20" s="240" t="s">
        <v>1044</v>
      </c>
      <c r="D20" s="270">
        <v>0</v>
      </c>
      <c r="E20" s="266">
        <f t="shared" si="0"/>
        <v>0</v>
      </c>
    </row>
    <row r="21" spans="1:5" x14ac:dyDescent="0.25">
      <c r="A21" s="275" t="s">
        <v>1045</v>
      </c>
      <c r="B21" s="276">
        <v>5</v>
      </c>
      <c r="C21" s="240" t="s">
        <v>1046</v>
      </c>
      <c r="D21" s="270">
        <v>0</v>
      </c>
      <c r="E21" s="266">
        <f t="shared" si="0"/>
        <v>0</v>
      </c>
    </row>
    <row r="22" spans="1:5" x14ac:dyDescent="0.25">
      <c r="A22" s="275" t="s">
        <v>1047</v>
      </c>
      <c r="B22" s="276">
        <v>1</v>
      </c>
      <c r="C22" s="240" t="s">
        <v>1048</v>
      </c>
      <c r="D22" s="270">
        <v>0</v>
      </c>
      <c r="E22" s="266">
        <f t="shared" si="0"/>
        <v>0</v>
      </c>
    </row>
    <row r="23" spans="1:5" x14ac:dyDescent="0.25">
      <c r="A23" s="275" t="s">
        <v>1049</v>
      </c>
      <c r="B23" s="276">
        <v>5</v>
      </c>
      <c r="C23" s="240" t="s">
        <v>1050</v>
      </c>
      <c r="D23" s="270">
        <v>0</v>
      </c>
      <c r="E23" s="266">
        <f t="shared" si="0"/>
        <v>0</v>
      </c>
    </row>
    <row r="24" spans="1:5" x14ac:dyDescent="0.25">
      <c r="A24" s="275" t="s">
        <v>1051</v>
      </c>
      <c r="B24" s="276">
        <v>2</v>
      </c>
      <c r="C24" s="240" t="s">
        <v>1052</v>
      </c>
      <c r="D24" s="270">
        <v>0</v>
      </c>
      <c r="E24" s="266">
        <f t="shared" si="0"/>
        <v>0</v>
      </c>
    </row>
    <row r="25" spans="1:5" x14ac:dyDescent="0.25">
      <c r="A25" s="275" t="s">
        <v>1053</v>
      </c>
      <c r="B25" s="276">
        <v>1</v>
      </c>
      <c r="C25" s="240" t="s">
        <v>1054</v>
      </c>
      <c r="D25" s="270">
        <v>0</v>
      </c>
      <c r="E25" s="266">
        <f t="shared" si="0"/>
        <v>0</v>
      </c>
    </row>
    <row r="26" spans="1:5" x14ac:dyDescent="0.25">
      <c r="A26" s="275" t="s">
        <v>1055</v>
      </c>
      <c r="B26" s="276">
        <v>5</v>
      </c>
      <c r="C26" s="240" t="s">
        <v>1056</v>
      </c>
      <c r="D26" s="270">
        <v>0</v>
      </c>
      <c r="E26" s="266">
        <f t="shared" si="0"/>
        <v>0</v>
      </c>
    </row>
    <row r="27" spans="1:5" x14ac:dyDescent="0.25">
      <c r="A27" s="269" t="s">
        <v>1067</v>
      </c>
      <c r="B27" s="265">
        <v>2</v>
      </c>
      <c r="C27" s="239" t="s">
        <v>1068</v>
      </c>
      <c r="D27" s="270">
        <v>0</v>
      </c>
      <c r="E27" s="266">
        <f t="shared" si="0"/>
        <v>0</v>
      </c>
    </row>
    <row r="28" spans="1:5" x14ac:dyDescent="0.25">
      <c r="A28" s="269" t="s">
        <v>1071</v>
      </c>
      <c r="B28" s="265">
        <v>2</v>
      </c>
      <c r="C28" s="239" t="s">
        <v>1072</v>
      </c>
      <c r="D28" s="270">
        <v>0</v>
      </c>
      <c r="E28" s="266">
        <f t="shared" si="0"/>
        <v>0</v>
      </c>
    </row>
    <row r="29" spans="1:5" x14ac:dyDescent="0.25">
      <c r="A29" s="269" t="s">
        <v>1073</v>
      </c>
      <c r="B29" s="265">
        <v>1</v>
      </c>
      <c r="C29" s="239" t="s">
        <v>1074</v>
      </c>
      <c r="D29" s="270">
        <v>0</v>
      </c>
      <c r="E29" s="266">
        <f t="shared" si="0"/>
        <v>0</v>
      </c>
    </row>
    <row r="30" spans="1:5" x14ac:dyDescent="0.25">
      <c r="A30" s="269" t="s">
        <v>1075</v>
      </c>
      <c r="B30" s="265">
        <v>1</v>
      </c>
      <c r="C30" s="239" t="s">
        <v>1076</v>
      </c>
      <c r="D30" s="270">
        <v>0</v>
      </c>
      <c r="E30" s="266">
        <f t="shared" si="0"/>
        <v>0</v>
      </c>
    </row>
    <row r="31" spans="1:5" x14ac:dyDescent="0.25">
      <c r="A31" s="269" t="s">
        <v>1077</v>
      </c>
      <c r="B31" s="265">
        <v>3</v>
      </c>
      <c r="C31" s="239" t="s">
        <v>1078</v>
      </c>
      <c r="D31" s="270">
        <v>0</v>
      </c>
      <c r="E31" s="266">
        <f t="shared" si="0"/>
        <v>0</v>
      </c>
    </row>
    <row r="32" spans="1:5" x14ac:dyDescent="0.25">
      <c r="A32" s="269" t="s">
        <v>1081</v>
      </c>
      <c r="B32" s="265">
        <v>1</v>
      </c>
      <c r="C32" s="239" t="s">
        <v>1082</v>
      </c>
      <c r="D32" s="270">
        <v>0</v>
      </c>
      <c r="E32" s="266">
        <f t="shared" si="0"/>
        <v>0</v>
      </c>
    </row>
    <row r="33" spans="1:5" x14ac:dyDescent="0.25">
      <c r="A33" s="269" t="s">
        <v>1085</v>
      </c>
      <c r="B33" s="265">
        <v>1</v>
      </c>
      <c r="C33" s="239" t="s">
        <v>1086</v>
      </c>
      <c r="D33" s="270">
        <v>0</v>
      </c>
      <c r="E33" s="266">
        <f t="shared" si="0"/>
        <v>0</v>
      </c>
    </row>
    <row r="34" spans="1:5" x14ac:dyDescent="0.25">
      <c r="A34" s="269" t="s">
        <v>1087</v>
      </c>
      <c r="B34" s="265">
        <v>1</v>
      </c>
      <c r="C34" s="239" t="s">
        <v>1088</v>
      </c>
      <c r="D34" s="270">
        <v>0</v>
      </c>
      <c r="E34" s="266">
        <f t="shared" si="0"/>
        <v>0</v>
      </c>
    </row>
    <row r="35" spans="1:5" x14ac:dyDescent="0.25">
      <c r="E35" s="279">
        <f>SUM(E4:E34)</f>
        <v>0</v>
      </c>
    </row>
  </sheetData>
  <printOptions horizontalCentered="1"/>
  <pageMargins left="0.51181102362204722" right="0.51181102362204722" top="0.59055118110236227" bottom="0.78740157480314965" header="0.31496062992125984" footer="0.51181102362204722"/>
  <pageSetup paperSize="9" scale="88" fitToHeight="8" orientation="landscape" r:id="rId1"/>
  <headerFooter>
    <oddHeader>&amp;RKV-2225-G1-3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10</vt:i4>
      </vt:variant>
    </vt:vector>
  </HeadingPairs>
  <TitlesOfParts>
    <vt:vector size="19" baseType="lpstr">
      <vt:lpstr>Sr</vt:lpstr>
      <vt:lpstr>Krycí list rozpočtu</vt:lpstr>
      <vt:lpstr>Rozpočet - Jen podskupiny</vt:lpstr>
      <vt:lpstr>Stavební rozpočet</vt:lpstr>
      <vt:lpstr>VORN</vt:lpstr>
      <vt:lpstr>PIP</vt:lpstr>
      <vt:lpstr>SO 02</vt:lpstr>
      <vt:lpstr>FINAL RNET ostatní</vt:lpstr>
      <vt:lpstr>RNET-5.3 doplění</vt:lpstr>
      <vt:lpstr>'FINAL RNET ostatní'!Oblast_tisku</vt:lpstr>
      <vt:lpstr>'Krycí list rozpočtu'!Oblast_tisku</vt:lpstr>
      <vt:lpstr>PIP!Oblast_tisku</vt:lpstr>
      <vt:lpstr>'RNET-5.3 doplění'!Oblast_tisku</vt:lpstr>
      <vt:lpstr>'Rozpočet - Jen podskupiny'!Oblast_tisku</vt:lpstr>
      <vt:lpstr>'SO 02'!Oblast_tisku</vt:lpstr>
      <vt:lpstr>Sr!Oblast_tisku</vt:lpstr>
      <vt:lpstr>'Stavební rozpočet'!Oblast_tisku</vt:lpstr>
      <vt:lpstr>VORN!Oblast_tisku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2025-08-13T17:24:45Z</dcterms:created>
  <dcterms:modified xsi:type="dcterms:W3CDTF">2025-12-08T12:45:40Z</dcterms:modified>
</cp:coreProperties>
</file>