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<sst xmlns="http://schemas.openxmlformats.org/spreadsheetml/2006/main" count="1860" uniqueCount="604">
  <si>
    <t>92</t>
  </si>
  <si>
    <t>Drobný montážní a spojovací materiál, ztratné</t>
  </si>
  <si>
    <t>Nástěnka K 247, pro výtokový ventil G 1/2</t>
  </si>
  <si>
    <t>Doba výstavby:</t>
  </si>
  <si>
    <t>Projektant</t>
  </si>
  <si>
    <t>722220111R00</t>
  </si>
  <si>
    <t>67</t>
  </si>
  <si>
    <t>210110041RT6</t>
  </si>
  <si>
    <t>Základ 15%</t>
  </si>
  <si>
    <t>210190041RU2</t>
  </si>
  <si>
    <t>Malby</t>
  </si>
  <si>
    <t>103</t>
  </si>
  <si>
    <t>Stěna sprchová boční pevná 90 cm</t>
  </si>
  <si>
    <t>pár</t>
  </si>
  <si>
    <t>Příplatek za nošení vyb. hmot každých dalších 10 m</t>
  </si>
  <si>
    <t>91</t>
  </si>
  <si>
    <t>87</t>
  </si>
  <si>
    <t>Základ 21%</t>
  </si>
  <si>
    <t>20</t>
  </si>
  <si>
    <t>Dodávka</t>
  </si>
  <si>
    <t>721194105R00</t>
  </si>
  <si>
    <t>NUS celkem z obj.</t>
  </si>
  <si>
    <t>Kabel CYKY 750 V 3x2,5 mm2 uložený pod omítkou - včetně dodávky kabelu</t>
  </si>
  <si>
    <t>Vyvedení odpadních výpustek D 110 x 2,3</t>
  </si>
  <si>
    <t>Městské zařízení sociálních služeb Karlovy Vary, p</t>
  </si>
  <si>
    <t>3_</t>
  </si>
  <si>
    <t>Potrubí KG odpadní svislé D 110 x 3,2 mm</t>
  </si>
  <si>
    <t>Náklady (Kč) - celkem</t>
  </si>
  <si>
    <t>711</t>
  </si>
  <si>
    <t>55484471.A</t>
  </si>
  <si>
    <t>Nátěr syntetický kovových konstrukcí 2x + 1x email</t>
  </si>
  <si>
    <t>72_</t>
  </si>
  <si>
    <t>784401801R00</t>
  </si>
  <si>
    <t>953942421R00</t>
  </si>
  <si>
    <t>Název stavby:</t>
  </si>
  <si>
    <t>Ostatní materiál</t>
  </si>
  <si>
    <t>48</t>
  </si>
  <si>
    <t>29</t>
  </si>
  <si>
    <t>Č</t>
  </si>
  <si>
    <t>Oprava vápen.omítek stěn do 10 % pl. - štukových</t>
  </si>
  <si>
    <t>Přesun hmot pro obklady keramické, výšky do 12 m</t>
  </si>
  <si>
    <t>725110814R00</t>
  </si>
  <si>
    <t>Poznámka:</t>
  </si>
  <si>
    <t>979990111R00</t>
  </si>
  <si>
    <t>210010001RU3</t>
  </si>
  <si>
    <t>Lokalita:</t>
  </si>
  <si>
    <t>79</t>
  </si>
  <si>
    <t>Osazení železných ventilací o ploše nad 0,10 m2  vč. dodávky 150x300 mm</t>
  </si>
  <si>
    <t>71</t>
  </si>
  <si>
    <t>16</t>
  </si>
  <si>
    <t>PSV</t>
  </si>
  <si>
    <t>Hadice FLEXI k baterii (8x12) Il 40 cm</t>
  </si>
  <si>
    <t>24</t>
  </si>
  <si>
    <t>Krabice rozvodná KR 97, se zapojením, kruhová</t>
  </si>
  <si>
    <t>Bez pevné podl.</t>
  </si>
  <si>
    <t>Malba , bílá, bez penetrace, 2 x</t>
  </si>
  <si>
    <t>Potěr ,ručně zpracovaný,tl. 5 mm</t>
  </si>
  <si>
    <t>Celkem</t>
  </si>
  <si>
    <t>Hzs-revize provoz.souboru a st.obj.</t>
  </si>
  <si>
    <t>Zařízení staveniště</t>
  </si>
  <si>
    <t>771575107RT1</t>
  </si>
  <si>
    <t>Přesun hmot pro vnitřní kanalizaci, výšky do 6 m</t>
  </si>
  <si>
    <t>7   ;   sedačky, madel, držáků, mřížek</t>
  </si>
  <si>
    <t>766_</t>
  </si>
  <si>
    <t>55110050</t>
  </si>
  <si>
    <t>Potrubí z PPR, D 20x2,8 mm, PN 16, vč.zed.výpom.</t>
  </si>
  <si>
    <t>4</t>
  </si>
  <si>
    <t>97</t>
  </si>
  <si>
    <t>Trubka HT s hrdlem D 125 mm délka 1000 mm PP</t>
  </si>
  <si>
    <t>121</t>
  </si>
  <si>
    <t>94</t>
  </si>
  <si>
    <t>Dlaždice 20x20</t>
  </si>
  <si>
    <t>Přesun hmot pro truhlářské konstr., výšky do 12 m</t>
  </si>
  <si>
    <t>998771202R00</t>
  </si>
  <si>
    <t>612421231R00</t>
  </si>
  <si>
    <t xml:space="preserve"> LED Podlinkové svítidlo LED/15W/230V stříbrná</t>
  </si>
  <si>
    <t>210800115RT1</t>
  </si>
  <si>
    <t>60</t>
  </si>
  <si>
    <t>Základní rozpočtové náklady</t>
  </si>
  <si>
    <t>26</t>
  </si>
  <si>
    <t>6_</t>
  </si>
  <si>
    <t>105</t>
  </si>
  <si>
    <t>Celkem bez DPH</t>
  </si>
  <si>
    <t>122</t>
  </si>
  <si>
    <t>Ing Jan Hruška, Josefa Lady 199, K.Vary-Olšová Vra</t>
  </si>
  <si>
    <t>M21</t>
  </si>
  <si>
    <t>721_</t>
  </si>
  <si>
    <t>Penetrace podkladu hloubková  1x</t>
  </si>
  <si>
    <t>998721201R00</t>
  </si>
  <si>
    <t>LED Stropní svítidlo LED/24W/230V 38cm 3000K/4000K/6400K</t>
  </si>
  <si>
    <t>Umyvadlo rohové , 55 cm, bílé</t>
  </si>
  <si>
    <t>6</t>
  </si>
  <si>
    <t>Rozpočtové náklady v Kč</t>
  </si>
  <si>
    <t>Demontáž kuchyňských linek do 1,8 m  .  použita zpět</t>
  </si>
  <si>
    <t>0,0486*19    ;  PVC</t>
  </si>
  <si>
    <t>68</t>
  </si>
  <si>
    <t>Propojení plastového potrubí polyf.D 20 mm,vodovod</t>
  </si>
  <si>
    <t>81</t>
  </si>
  <si>
    <t>979990101R00</t>
  </si>
  <si>
    <t>Baterie umyvadlová stoján. ruční, bez otvír.odpadu</t>
  </si>
  <si>
    <t>Sprchová souprava s mýdlenkou, posuvný držák, chrom (nastavitelná rozteč) 11444</t>
  </si>
  <si>
    <t>210800105RT1</t>
  </si>
  <si>
    <t>B</t>
  </si>
  <si>
    <t>119</t>
  </si>
  <si>
    <t>Náklady na umístění stavby (NUS)</t>
  </si>
  <si>
    <t>Spínač zapuštěný dvoupólový, řazení 2</t>
  </si>
  <si>
    <t>42</t>
  </si>
  <si>
    <t>(1,199+0,9)*2*(2,6-1,5)-0,6*0,47</t>
  </si>
  <si>
    <t>82</t>
  </si>
  <si>
    <t>Montáž</t>
  </si>
  <si>
    <t>Datum, razítko a podpis</t>
  </si>
  <si>
    <t>Chránič proudový</t>
  </si>
  <si>
    <t>776_</t>
  </si>
  <si>
    <t>ZRN celkem</t>
  </si>
  <si>
    <t>Demontáž umyvadel bez výtokových armatur</t>
  </si>
  <si>
    <t>Volek S</t>
  </si>
  <si>
    <t>Zásuvka domovní zapuštěná - provedení 2P+PE</t>
  </si>
  <si>
    <t>358890406</t>
  </si>
  <si>
    <t>722181211RT7</t>
  </si>
  <si>
    <t>430 92VD</t>
  </si>
  <si>
    <t>Lišta hliníková přechod., stejná výška povl.podlah</t>
  </si>
  <si>
    <t>998776202R00</t>
  </si>
  <si>
    <t>69</t>
  </si>
  <si>
    <t>33</t>
  </si>
  <si>
    <t>DPH 15%</t>
  </si>
  <si>
    <t>78</t>
  </si>
  <si>
    <t>Montáž obkladů stěn, porovin.,tmel, 20x20,30x15 cm</t>
  </si>
  <si>
    <t>5534301661</t>
  </si>
  <si>
    <t>Krycí list slepého rozpočtu</t>
  </si>
  <si>
    <t>120</t>
  </si>
  <si>
    <t>63</t>
  </si>
  <si>
    <t>725823111RT1</t>
  </si>
  <si>
    <t>776521100RU2</t>
  </si>
  <si>
    <t>783_</t>
  </si>
  <si>
    <t>Stěny a příčky</t>
  </si>
  <si>
    <t>77_</t>
  </si>
  <si>
    <t>998766202R00</t>
  </si>
  <si>
    <t>11.12.2021</t>
  </si>
  <si>
    <t>55484415.A</t>
  </si>
  <si>
    <t>721194109R00</t>
  </si>
  <si>
    <t>25</t>
  </si>
  <si>
    <t>kus</t>
  </si>
  <si>
    <t>Chránič proudový dvoupólový do 40 A</t>
  </si>
  <si>
    <t>783225100R00</t>
  </si>
  <si>
    <t>Dodávky</t>
  </si>
  <si>
    <t>soustava</t>
  </si>
  <si>
    <t>Ostatní mat.</t>
  </si>
  <si>
    <t>784191201R00</t>
  </si>
  <si>
    <t>941955001R00</t>
  </si>
  <si>
    <t>130</t>
  </si>
  <si>
    <t>781101210RT1</t>
  </si>
  <si>
    <t>781497111R00</t>
  </si>
  <si>
    <t>Cenová</t>
  </si>
  <si>
    <t>Vodič H07V-U (CY) 2,5 mm2 uložený v trubkách</t>
  </si>
  <si>
    <t>STAVEBNÍ ÚPRAVY ZÁZEMÍ PEČOVATELEK, BYTOVÉ JEDNOTCE č. 108 V 2. np</t>
  </si>
  <si>
    <t>(1,97*2+0,8)*(0,8+0,05*2)*2 + (1,97*2+0,6)*(0,05+0,1)*2</t>
  </si>
  <si>
    <t>HSV prac</t>
  </si>
  <si>
    <t>129</t>
  </si>
  <si>
    <t>141 00VD</t>
  </si>
  <si>
    <t>(0,0347+0,0195+0,0173)*19    ;  ZTI</t>
  </si>
  <si>
    <t>13</t>
  </si>
  <si>
    <t>Montáž podlah keram.,režné hladké, tmel, 20x20 cm</t>
  </si>
  <si>
    <t>(1,199+0,9)*2*1,5-0,6*1,5</t>
  </si>
  <si>
    <t>"M"</t>
  </si>
  <si>
    <t>725299101R00</t>
  </si>
  <si>
    <t>Vyčištění budov o výšce podlaží do 4 m</t>
  </si>
  <si>
    <t>Cena/MJ</t>
  </si>
  <si>
    <t>Konec výstavby:</t>
  </si>
  <si>
    <t>Držák na toaletní papír nerezový</t>
  </si>
  <si>
    <t>127</t>
  </si>
  <si>
    <t>23170120</t>
  </si>
  <si>
    <t>Kód</t>
  </si>
  <si>
    <t>S</t>
  </si>
  <si>
    <t>43</t>
  </si>
  <si>
    <t>210290813R00</t>
  </si>
  <si>
    <t>Obezdívky van a WC nádržek z desek porobetonových tl.100 mm</t>
  </si>
  <si>
    <t>725249102R00</t>
  </si>
  <si>
    <t>346244313R00</t>
  </si>
  <si>
    <t>KARLOVY VARY, VÝCHODNÍ 16</t>
  </si>
  <si>
    <t>Ostatní přesuny hmot</t>
  </si>
  <si>
    <t>Lešení lehké pomocné, výška podlahy do 1,2 m</t>
  </si>
  <si>
    <t>342941114R00</t>
  </si>
  <si>
    <t>soubor</t>
  </si>
  <si>
    <t>MJ</t>
  </si>
  <si>
    <t>0,0486    ;  PVC</t>
  </si>
  <si>
    <t>998781202R00</t>
  </si>
  <si>
    <t>45</t>
  </si>
  <si>
    <t>40</t>
  </si>
  <si>
    <t>Lepení podlahových soklíků z PVC a vinylu - včetně dodávky soklíku PVC</t>
  </si>
  <si>
    <t>905      R01</t>
  </si>
  <si>
    <t>9_</t>
  </si>
  <si>
    <t>(1,199+0,9)*2</t>
  </si>
  <si>
    <t>Doplňkové náklady</t>
  </si>
  <si>
    <t>612421626R00</t>
  </si>
  <si>
    <t>Klozet kombi ,nádrž s armat.odpad svislý,bílý - včetně sedátka v bílé barvě</t>
  </si>
  <si>
    <t>PSV prac</t>
  </si>
  <si>
    <t>HSV</t>
  </si>
  <si>
    <t>RTS I / 2022</t>
  </si>
  <si>
    <t>9</t>
  </si>
  <si>
    <t>(1,939+1,4)*2*(2,6-2,0)</t>
  </si>
  <si>
    <t>Bourání dlažeb keramických tl.10 mm, nad 1 m2</t>
  </si>
  <si>
    <t>104</t>
  </si>
  <si>
    <t>15</t>
  </si>
  <si>
    <t>210120561R00</t>
  </si>
  <si>
    <t>978059531R00</t>
  </si>
  <si>
    <t>95</t>
  </si>
  <si>
    <t>998725202R00</t>
  </si>
  <si>
    <t>ISWORK</t>
  </si>
  <si>
    <t>Celkem včetně DPH</t>
  </si>
  <si>
    <t>999281108R00</t>
  </si>
  <si>
    <t>Izolace návleková MIRELON PRO tl. stěny 6 mm</t>
  </si>
  <si>
    <t>776421100RU1</t>
  </si>
  <si>
    <t>210120803R00</t>
  </si>
  <si>
    <t>Základ 0%</t>
  </si>
  <si>
    <t>S_</t>
  </si>
  <si>
    <t>721176103R00</t>
  </si>
  <si>
    <t>766</t>
  </si>
  <si>
    <t>52</t>
  </si>
  <si>
    <t>118</t>
  </si>
  <si>
    <t>Montáž mřížky větrací nebo ventilační do 0,04 m2</t>
  </si>
  <si>
    <t>Vodorovné přemístění vyb. hmot nošením do 10 m</t>
  </si>
  <si>
    <t>51</t>
  </si>
  <si>
    <t>711212602RT1</t>
  </si>
  <si>
    <t>Přesuny sutí</t>
  </si>
  <si>
    <t>721170905R00</t>
  </si>
  <si>
    <t>Mont prac</t>
  </si>
  <si>
    <t>711212611RT1</t>
  </si>
  <si>
    <t>900      R24</t>
  </si>
  <si>
    <t>Nátěr syntetický ocel. radiát. článků 1x +1x email</t>
  </si>
  <si>
    <t>Obklady (keramické)</t>
  </si>
  <si>
    <t>44</t>
  </si>
  <si>
    <t>78_</t>
  </si>
  <si>
    <t>h</t>
  </si>
  <si>
    <t>23</t>
  </si>
  <si>
    <t>3,0*2</t>
  </si>
  <si>
    <t>Kabel CYKY 750 V 5x1,5 mm2 uložený pod omítkou - včetně dodávky kabelu</t>
  </si>
  <si>
    <t>Lepení povlak.podlah z pásů PVC na lepidlo - včetně podlahoviny  tl. 2,0 mm</t>
  </si>
  <si>
    <t>725_</t>
  </si>
  <si>
    <t>781_</t>
  </si>
  <si>
    <t>128</t>
  </si>
  <si>
    <t>59</t>
  </si>
  <si>
    <t>35822002310</t>
  </si>
  <si>
    <t>109</t>
  </si>
  <si>
    <t>t</t>
  </si>
  <si>
    <t>117</t>
  </si>
  <si>
    <t>Zednické výpomoce</t>
  </si>
  <si>
    <t> </t>
  </si>
  <si>
    <t>53</t>
  </si>
  <si>
    <t>Konstrukce truhlářské</t>
  </si>
  <si>
    <t>99</t>
  </si>
  <si>
    <t>107</t>
  </si>
  <si>
    <t>Nástěnka K 247, pro baterii G 1/2</t>
  </si>
  <si>
    <t>632421115R00</t>
  </si>
  <si>
    <t>125</t>
  </si>
  <si>
    <t>210201511R00</t>
  </si>
  <si>
    <t>722220121R00</t>
  </si>
  <si>
    <t>JKSO:</t>
  </si>
  <si>
    <t>58,0+121,0</t>
  </si>
  <si>
    <t>85</t>
  </si>
  <si>
    <t>64</t>
  </si>
  <si>
    <t>0,0347+0,0195+0,0173    ;  ZTI</t>
  </si>
  <si>
    <t>(1,939*1,4 + 1,939*0,9)*0,05</t>
  </si>
  <si>
    <t>Náklady (Kč) - dodávka</t>
  </si>
  <si>
    <t>348 003VD</t>
  </si>
  <si>
    <t>Vyrovnání podkladů samonivel. hmotou tl. do 10 mm</t>
  </si>
  <si>
    <t>(1,939+1,4)*2</t>
  </si>
  <si>
    <t>77</t>
  </si>
  <si>
    <t>DN celkem</t>
  </si>
  <si>
    <t>H99_</t>
  </si>
  <si>
    <t>0,9*4*0,15   ;  podezdění vaničky</t>
  </si>
  <si>
    <t>978021191R00</t>
  </si>
  <si>
    <t>Svorkovnice řadová pro vodič do 2,5 mm2</t>
  </si>
  <si>
    <t>116</t>
  </si>
  <si>
    <t>GROUPCODE</t>
  </si>
  <si>
    <t>781415015RT1</t>
  </si>
  <si>
    <t>Poplatek za uložení suti - stavební keramika, skupina odpadu 170103</t>
  </si>
  <si>
    <t>0</t>
  </si>
  <si>
    <t>969011121R00</t>
  </si>
  <si>
    <t>Provozní vlivy</t>
  </si>
  <si>
    <t>5</t>
  </si>
  <si>
    <t>Připojení motorových spotřebičů do 25 kW - varné desky</t>
  </si>
  <si>
    <t>76_</t>
  </si>
  <si>
    <t>Přesun hmot pro vnitřní vodovod, výšky do 6 m</t>
  </si>
  <si>
    <t>Montáž ventilátoru do 1,5 kW</t>
  </si>
  <si>
    <t>783322120R00</t>
  </si>
  <si>
    <t>725210821R00</t>
  </si>
  <si>
    <t>Druh stavby:</t>
  </si>
  <si>
    <t>Penetrace podkladu pod obklady</t>
  </si>
  <si>
    <t>Trubka ohebná pod omítku, vnější průměr 16 mm</t>
  </si>
  <si>
    <t>771101115R00</t>
  </si>
  <si>
    <t>Demontáž dřevěných stěn plných</t>
  </si>
  <si>
    <t>784</t>
  </si>
  <si>
    <t>0,3588    ;   suť</t>
  </si>
  <si>
    <t>96</t>
  </si>
  <si>
    <t>Svítidlo LED bytové stropní přisazené</t>
  </si>
  <si>
    <t>Zpracováno dne:</t>
  </si>
  <si>
    <t>Těsnicí roh vnější, vnitřní do spoje podlaha-stěna -  vnější, vnitřní roh</t>
  </si>
  <si>
    <t>728</t>
  </si>
  <si>
    <t>783</t>
  </si>
  <si>
    <t>Přesun hmot pro podlahy z dlaždic, výšky do 12 m</t>
  </si>
  <si>
    <t>Jistič jednopólový do 25 A se zapojením</t>
  </si>
  <si>
    <t>965081713R00</t>
  </si>
  <si>
    <t>Dveře sprchové třídilné 90 cm</t>
  </si>
  <si>
    <t>10</t>
  </si>
  <si>
    <t>725017232R00</t>
  </si>
  <si>
    <t>58</t>
  </si>
  <si>
    <t>36</t>
  </si>
  <si>
    <t>Oprava potrubí PVC odpadní, vsazení odbočky D 50</t>
  </si>
  <si>
    <t>Vyvedení odpadních výpustek D 50 x 1,8</t>
  </si>
  <si>
    <t>14</t>
  </si>
  <si>
    <t>31</t>
  </si>
  <si>
    <t>Zařizovací předměty</t>
  </si>
  <si>
    <t>84</t>
  </si>
  <si>
    <t>Množství</t>
  </si>
  <si>
    <t>38</t>
  </si>
  <si>
    <t>348 002VD</t>
  </si>
  <si>
    <t>95_</t>
  </si>
  <si>
    <t>Přesun hmot pro podlahy povlakové, výšky do 12 m</t>
  </si>
  <si>
    <t>Vnitřní vodovod</t>
  </si>
  <si>
    <t>Typ skupiny</t>
  </si>
  <si>
    <t>73</t>
  </si>
  <si>
    <t>979087392R00</t>
  </si>
  <si>
    <t>725292035R00</t>
  </si>
  <si>
    <t>61_</t>
  </si>
  <si>
    <t>56</t>
  </si>
  <si>
    <t>722_</t>
  </si>
  <si>
    <t xml:space="preserve"> Světlo do koupelny nad zrcadlo LED 90cm 15W 1200lm 4000K IP44 230V - černé</t>
  </si>
  <si>
    <t>19</t>
  </si>
  <si>
    <t>C</t>
  </si>
  <si>
    <t>725320822R00</t>
  </si>
  <si>
    <t>Náklady (Kč)</t>
  </si>
  <si>
    <t>Demontáž soklíků nebo lišt, pryžových nebo z PVC</t>
  </si>
  <si>
    <t>721</t>
  </si>
  <si>
    <t>110</t>
  </si>
  <si>
    <t>39</t>
  </si>
  <si>
    <t>30</t>
  </si>
  <si>
    <t>(1,939*1,4 + 1,939*0,9)*1,02</t>
  </si>
  <si>
    <t>965041321RT1</t>
  </si>
  <si>
    <t>IČO/DIČ:</t>
  </si>
  <si>
    <t>776511810R00</t>
  </si>
  <si>
    <t>2,0*4 + 1,5*4</t>
  </si>
  <si>
    <t>776401800R00</t>
  </si>
  <si>
    <t>Ostatní</t>
  </si>
  <si>
    <t>86</t>
  </si>
  <si>
    <t>55</t>
  </si>
  <si>
    <t>Podlahy povlakové</t>
  </si>
  <si>
    <t>Zpracoval:</t>
  </si>
  <si>
    <t>Omítka vnitřní zdiva, MVC, hladká</t>
  </si>
  <si>
    <t>76</t>
  </si>
  <si>
    <t>553476544</t>
  </si>
  <si>
    <t>Polyuretanová  pěna 750 ml</t>
  </si>
  <si>
    <t>Zhotovitel</t>
  </si>
  <si>
    <t>Hydroizolační povlak - nátěr nebo stěrka</t>
  </si>
  <si>
    <t>2</t>
  </si>
  <si>
    <t>Projektant:</t>
  </si>
  <si>
    <t>ORN celkem</t>
  </si>
  <si>
    <t/>
  </si>
  <si>
    <t>728415111R00</t>
  </si>
  <si>
    <t>210110042RT6</t>
  </si>
  <si>
    <t>17</t>
  </si>
  <si>
    <t>Vybourání objímek,držáků apod.ze zdiva cihelného</t>
  </si>
  <si>
    <t>210800106RT1</t>
  </si>
  <si>
    <t>98</t>
  </si>
  <si>
    <t>112</t>
  </si>
  <si>
    <t>Lešení a stavební výtahy</t>
  </si>
  <si>
    <t>21</t>
  </si>
  <si>
    <t>Omítka vnitřní zdiva, MVC, štuková</t>
  </si>
  <si>
    <t>34_</t>
  </si>
  <si>
    <t>(1,939+1,4)*2+6*2,0</t>
  </si>
  <si>
    <t>Osazení plast.rozvodnic,výklenek, plocha do 0,2 m2</t>
  </si>
  <si>
    <t>210120813R00</t>
  </si>
  <si>
    <t>Ukončení vodičů v krabici + zapoj. do 2,5 mm2</t>
  </si>
  <si>
    <t>Úprava povrchů vnitřní</t>
  </si>
  <si>
    <t>Práce přesčas</t>
  </si>
  <si>
    <t>210120569R00</t>
  </si>
  <si>
    <t>Jistič do 80 A 1 pól. charakteristika B, LTN-2B-1</t>
  </si>
  <si>
    <t>61</t>
  </si>
  <si>
    <t>Připojení příček ke stáv.konstr. kotva+hřebíky</t>
  </si>
  <si>
    <t>126</t>
  </si>
  <si>
    <t>124</t>
  </si>
  <si>
    <t>Přesun hmot pro izolace proti vodě, výšky do 12 m</t>
  </si>
  <si>
    <t>0,3588*14     ;   suť</t>
  </si>
  <si>
    <t>12</t>
  </si>
  <si>
    <t>Kabel CYKY 750 V 3x1,5 mm2 uložený pod omítkou - včetně dodávky kabelu</t>
  </si>
  <si>
    <t>348 001VD</t>
  </si>
  <si>
    <t>Chránič proudový třípólový do 40 A</t>
  </si>
  <si>
    <t>Kulturní památka</t>
  </si>
  <si>
    <t>Objekt</t>
  </si>
  <si>
    <t>Různé dokončovací konstrukce a práce na pozemních stavbách</t>
  </si>
  <si>
    <t xml:space="preserve"> 
</t>
  </si>
  <si>
    <t>Ventil rohový bez přípoj. trubičky  G 1/2</t>
  </si>
  <si>
    <t>Bourání konstrukcí</t>
  </si>
  <si>
    <t>210800505RT1</t>
  </si>
  <si>
    <t>DPH 21%</t>
  </si>
  <si>
    <t>968061125R00</t>
  </si>
  <si>
    <t>Elektromontáže</t>
  </si>
  <si>
    <t>979990181R00</t>
  </si>
  <si>
    <t>_</t>
  </si>
  <si>
    <t>Odstranění malby obroušením v místnosti H do 3,8 m</t>
  </si>
  <si>
    <t>953941421R00</t>
  </si>
  <si>
    <t>kpl</t>
  </si>
  <si>
    <t>ORN celkem z obj.</t>
  </si>
  <si>
    <t>766111820R00</t>
  </si>
  <si>
    <t>Montáž koupelnových doplňků - mýdelníků, držáků ap</t>
  </si>
  <si>
    <t>210192571R00</t>
  </si>
  <si>
    <t>49</t>
  </si>
  <si>
    <t>72</t>
  </si>
  <si>
    <t>Přesuny</t>
  </si>
  <si>
    <t>MAT</t>
  </si>
  <si>
    <t>70</t>
  </si>
  <si>
    <t>776</t>
  </si>
  <si>
    <t>Dávkovač tekutého mýdla nerezový 0,5 l</t>
  </si>
  <si>
    <t>8</t>
  </si>
  <si>
    <t>722172912R00</t>
  </si>
  <si>
    <t>Celkem:</t>
  </si>
  <si>
    <t>Mimostav. doprava</t>
  </si>
  <si>
    <t>Nátěry</t>
  </si>
  <si>
    <t>Baterie sprchová nástěnná ruční, bez příslušenství</t>
  </si>
  <si>
    <t>18</t>
  </si>
  <si>
    <t>DN celkem z obj.</t>
  </si>
  <si>
    <t>597813664</t>
  </si>
  <si>
    <t>210800116RT1</t>
  </si>
  <si>
    <t>46</t>
  </si>
  <si>
    <t>766812830R00</t>
  </si>
  <si>
    <t>781</t>
  </si>
  <si>
    <t>728_</t>
  </si>
  <si>
    <t>55423080</t>
  </si>
  <si>
    <t>Potrubí HT připojovací D 50 x 1,8 mm</t>
  </si>
  <si>
    <t>71_</t>
  </si>
  <si>
    <t>Osazení ocelového rámu velikosti do 1000 x 1000 mm</t>
  </si>
  <si>
    <t>722172311R00</t>
  </si>
  <si>
    <t>100</t>
  </si>
  <si>
    <t>108</t>
  </si>
  <si>
    <t>Příplatek k přesunu suti za každých dalších 1000 m</t>
  </si>
  <si>
    <t>50</t>
  </si>
  <si>
    <t>998722201R00</t>
  </si>
  <si>
    <t>0,0486*14    ;  PVC</t>
  </si>
  <si>
    <t>Zkouška těsnosti kanalizace vodou DN 125</t>
  </si>
  <si>
    <t>m</t>
  </si>
  <si>
    <t>Slepý stavební rozpočet - rekapitulace</t>
  </si>
  <si>
    <t>0,9*2,6</t>
  </si>
  <si>
    <t>11</t>
  </si>
  <si>
    <t>Větrací mřížka 150 x 300 mm</t>
  </si>
  <si>
    <t>32</t>
  </si>
  <si>
    <t>979082119R00</t>
  </si>
  <si>
    <t>721290111R00</t>
  </si>
  <si>
    <t>Objednatel:</t>
  </si>
  <si>
    <t>Sprchová keramická vanička 90x90 cm</t>
  </si>
  <si>
    <t>2,6*2</t>
  </si>
  <si>
    <t>721176212R00</t>
  </si>
  <si>
    <t>0,1745+0,8588+0,0455+0,06544+0,0720</t>
  </si>
  <si>
    <t>Zásuvka domovní zapuštěná - provedení 2x (2P+PE)</t>
  </si>
  <si>
    <t>PSV mat</t>
  </si>
  <si>
    <t>(1,579+3,45)*2 + (3,45+4,27)*2 + (3,45+3,5)*2+(0,4+0,1+2,5*2)</t>
  </si>
  <si>
    <t>210100060R00</t>
  </si>
  <si>
    <t>Kabel CYKY 750 V 5x2,5 mm2 uložený pod omítkou</t>
  </si>
  <si>
    <t>RT-2144-22</t>
  </si>
  <si>
    <t>0,6*2</t>
  </si>
  <si>
    <t>0,3588     ;   suť</t>
  </si>
  <si>
    <t>998711202R00</t>
  </si>
  <si>
    <t>3</t>
  </si>
  <si>
    <t>Obkládačka 20x25 světle šedá lesk</t>
  </si>
  <si>
    <t>711_</t>
  </si>
  <si>
    <t>728114112R00</t>
  </si>
  <si>
    <t>102</t>
  </si>
  <si>
    <t>2,9+1,1+14,9+15,5+18,8   ;  dle výkresu</t>
  </si>
  <si>
    <t>Zhotovitel:</t>
  </si>
  <si>
    <t>Svislá doprava suti a vybour. hmot za 2.NP nošením</t>
  </si>
  <si>
    <t>%</t>
  </si>
  <si>
    <t>Podlahy z dlaždic</t>
  </si>
  <si>
    <t>96_</t>
  </si>
  <si>
    <t>952901111R00</t>
  </si>
  <si>
    <t>(1,939+1,4)*2*2,0-0,6*1,97</t>
  </si>
  <si>
    <t>Příslušenství k dřezu v kuchyňské sestavě</t>
  </si>
  <si>
    <t>784_</t>
  </si>
  <si>
    <t>35</t>
  </si>
  <si>
    <t>Začátek výstavby:</t>
  </si>
  <si>
    <t>803</t>
  </si>
  <si>
    <t>A</t>
  </si>
  <si>
    <t>Spínač zapuštěný jednopólový, řazení 1</t>
  </si>
  <si>
    <t>Mont mat</t>
  </si>
  <si>
    <t>722</t>
  </si>
  <si>
    <t>Poplatek za uložení suti - PVC podlahová krytina, skupina odpadu 200307</t>
  </si>
  <si>
    <t>Slepý stavební rozpočet</t>
  </si>
  <si>
    <t>93</t>
  </si>
  <si>
    <t>28615244.A</t>
  </si>
  <si>
    <t>Těsnicí pás do svislých koutů</t>
  </si>
  <si>
    <t>63_</t>
  </si>
  <si>
    <t>101</t>
  </si>
  <si>
    <t>75</t>
  </si>
  <si>
    <t>Montáž potrubí plastového kruhového do d 200 mm</t>
  </si>
  <si>
    <t>54</t>
  </si>
  <si>
    <t xml:space="preserve"> </t>
  </si>
  <si>
    <t>725013138RT1</t>
  </si>
  <si>
    <t>210290751R00</t>
  </si>
  <si>
    <t>725292041R00</t>
  </si>
  <si>
    <t>Přesun hmot pro zařizovací předměty, výšky do 12 m</t>
  </si>
  <si>
    <t>Montáž sprchových mís a vaniček</t>
  </si>
  <si>
    <t>Lišta PVC ukončovacích i rohová k obkladům</t>
  </si>
  <si>
    <t>123</t>
  </si>
  <si>
    <t>551 05VD</t>
  </si>
  <si>
    <t>342254511R00</t>
  </si>
  <si>
    <t>Jistič do 80 A 3 pól. charakterist. B, LTN-6B-3</t>
  </si>
  <si>
    <t>Objednatel</t>
  </si>
  <si>
    <t>725249103R00</t>
  </si>
  <si>
    <t>57</t>
  </si>
  <si>
    <t>728114812R00</t>
  </si>
  <si>
    <t>(Kč)</t>
  </si>
  <si>
    <t>Připojení motorových spotřebičů do 5 kW - digestoře</t>
  </si>
  <si>
    <t>22</t>
  </si>
  <si>
    <t>Příplatek za malý rozsah do 20 m rozvodu</t>
  </si>
  <si>
    <t>210111014RT2</t>
  </si>
  <si>
    <t>115</t>
  </si>
  <si>
    <t>Odstranění PVC a koberců lepených bez podložky</t>
  </si>
  <si>
    <t>Územní vlivy</t>
  </si>
  <si>
    <t>Vyvěšení dřevěných dveřních křídel pl. do 2 m2</t>
  </si>
  <si>
    <t>m3</t>
  </si>
  <si>
    <t>725</t>
  </si>
  <si>
    <t>632411904R00</t>
  </si>
  <si>
    <t>T</t>
  </si>
  <si>
    <t>Penetrace savých podkladů  0,25 l/m2</t>
  </si>
  <si>
    <t>358890501</t>
  </si>
  <si>
    <t>Datum:</t>
  </si>
  <si>
    <t>27</t>
  </si>
  <si>
    <t>Montáž sprchových koutů</t>
  </si>
  <si>
    <t>597623122</t>
  </si>
  <si>
    <t>37</t>
  </si>
  <si>
    <t>80</t>
  </si>
  <si>
    <t>m2</t>
  </si>
  <si>
    <t>41</t>
  </si>
  <si>
    <t>Demontáž potrubí plastového kruhového do d 200 mm</t>
  </si>
  <si>
    <t>(0,0347+0,0195+0,0173)*14    ;  ZTI</t>
  </si>
  <si>
    <t>Přesun hmot a sutí</t>
  </si>
  <si>
    <t>NUS z rozpočtu</t>
  </si>
  <si>
    <t>210010322RT1</t>
  </si>
  <si>
    <t>1</t>
  </si>
  <si>
    <t>35822001010</t>
  </si>
  <si>
    <t>210290811R00</t>
  </si>
  <si>
    <t>Demontáž dřezů dvojitých v kuchyň.sestavách</t>
  </si>
  <si>
    <t>7</t>
  </si>
  <si>
    <t>Vodorovná doprava suti po suchu do 1000 m</t>
  </si>
  <si>
    <t>Rozměry</t>
  </si>
  <si>
    <t>976082131R00</t>
  </si>
  <si>
    <t>979082113R00</t>
  </si>
  <si>
    <t>74</t>
  </si>
  <si>
    <t>Položek:</t>
  </si>
  <si>
    <t>NUS celkem</t>
  </si>
  <si>
    <t>14,9+14,9 + 18,8   ;   m 03 + 04 + 05   dle výkresu</t>
  </si>
  <si>
    <t>Podlahy a podlahové konstrukce</t>
  </si>
  <si>
    <t>WORK</t>
  </si>
  <si>
    <t>612421637R00</t>
  </si>
  <si>
    <t>83</t>
  </si>
  <si>
    <t>Bourání lehčených mazanin, tl.10 cm, pl. 1 m2</t>
  </si>
  <si>
    <t>771_</t>
  </si>
  <si>
    <t>114</t>
  </si>
  <si>
    <t>47</t>
  </si>
  <si>
    <t>Dvířka revizní  600x800 cm, nerez</t>
  </si>
  <si>
    <t>HSV mat</t>
  </si>
  <si>
    <t>0,9*2,6-0,6*0,8    ;    instalační šachta</t>
  </si>
  <si>
    <t>Otlučení cementových omítek vnitřních stěn do 100%</t>
  </si>
  <si>
    <t>M21_</t>
  </si>
  <si>
    <t>66</t>
  </si>
  <si>
    <t>210111011RT2</t>
  </si>
  <si>
    <t>0,9*(2,65-1,5)-0,6*0,4    ;    instalační šachta</t>
  </si>
  <si>
    <t>979087312R00</t>
  </si>
  <si>
    <t>Vybourání vodovod., plynového vedení DN do 52 mm</t>
  </si>
  <si>
    <t>0,3588*19    ;   suť</t>
  </si>
  <si>
    <t>Vzduchotechnika</t>
  </si>
  <si>
    <t>(1,199+0,9)*2+6*1,5</t>
  </si>
  <si>
    <t>H99</t>
  </si>
  <si>
    <t>Příčky z desek pórobetonových tl. 75 mm</t>
  </si>
  <si>
    <t>90</t>
  </si>
  <si>
    <t>89</t>
  </si>
  <si>
    <t>Přesun hmot pro opravy a údržbu do výšky 12 m</t>
  </si>
  <si>
    <t>711212002RT1</t>
  </si>
  <si>
    <t>979011211R00</t>
  </si>
  <si>
    <t>725810402R00</t>
  </si>
  <si>
    <t>722179191R00</t>
  </si>
  <si>
    <t>88</t>
  </si>
  <si>
    <t>Zkrácený popis</t>
  </si>
  <si>
    <t>28</t>
  </si>
  <si>
    <t>111</t>
  </si>
  <si>
    <t>Poplatek za uložení směsi betonu a cihel skupina 170101 a 170102</t>
  </si>
  <si>
    <t>1,939*1,4 + 1,939*0,9</t>
  </si>
  <si>
    <t>Jistič trojpólový do 25 A se zapojením</t>
  </si>
  <si>
    <t>725314290R00</t>
  </si>
  <si>
    <t>771</t>
  </si>
  <si>
    <t>CELK</t>
  </si>
  <si>
    <t>113</t>
  </si>
  <si>
    <t>106</t>
  </si>
  <si>
    <t>94_</t>
  </si>
  <si>
    <t>784195212R00</t>
  </si>
  <si>
    <t>725845111RT1</t>
  </si>
  <si>
    <t>65</t>
  </si>
  <si>
    <t>Demontáž klozetů kombinovaných</t>
  </si>
  <si>
    <t>34</t>
  </si>
  <si>
    <t>62</t>
  </si>
  <si>
    <t>Odsekání vnitřních obkladů stěn nad 2 m2</t>
  </si>
  <si>
    <t>Izolace proti vodě</t>
  </si>
  <si>
    <t>7,35*6,45</t>
  </si>
  <si>
    <t>HZS</t>
  </si>
  <si>
    <t>Náklady (Kč) - Montáž</t>
  </si>
  <si>
    <t>776981112R00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</si>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</sst>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i/>
      <sz val="10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4" fontId="48" fillId="0" borderId="13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4" fontId="51" fillId="0" borderId="17" xfId="0" applyNumberFormat="1" applyFont="1" applyFill="1" applyBorder="1" applyAlignment="1" applyProtection="1">
      <alignment horizontal="right" vertical="center"/>
      <protection/>
    </xf>
    <xf numFmtId="4" fontId="51" fillId="0" borderId="12" xfId="0" applyNumberFormat="1" applyFont="1" applyFill="1" applyBorder="1" applyAlignment="1" applyProtection="1">
      <alignment horizontal="right" vertical="center"/>
      <protection/>
    </xf>
    <xf numFmtId="0" fontId="47" fillId="33" borderId="18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22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52" fillId="33" borderId="23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52" fillId="33" borderId="17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4" fontId="50" fillId="33" borderId="17" xfId="0" applyNumberFormat="1" applyFont="1" applyFill="1" applyBorder="1" applyAlignment="1" applyProtection="1">
      <alignment horizontal="righ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33" borderId="18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4" fontId="51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50" fillId="33" borderId="12" xfId="0" applyNumberFormat="1" applyFont="1" applyFill="1" applyBorder="1" applyAlignment="1" applyProtection="1">
      <alignment horizontal="right" vertical="center"/>
      <protection/>
    </xf>
    <xf numFmtId="0" fontId="51" fillId="0" borderId="10" xfId="0" applyNumberFormat="1" applyFont="1" applyFill="1" applyBorder="1" applyAlignment="1" applyProtection="1">
      <alignment horizontal="right" vertical="center"/>
      <protection/>
    </xf>
    <xf numFmtId="4" fontId="51" fillId="0" borderId="21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51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6" fillId="0" borderId="30" xfId="0" applyNumberFormat="1" applyFont="1" applyFill="1" applyBorder="1" applyAlignment="1" applyProtection="1">
      <alignment horizontal="center" vertical="center"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1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1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17" xfId="0" applyNumberFormat="1" applyFont="1" applyFill="1" applyBorder="1" applyAlignment="1" applyProtection="1">
      <alignment horizontal="left" vertic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37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33" borderId="38" xfId="0" applyNumberFormat="1" applyFont="1" applyFill="1" applyBorder="1" applyAlignment="1" applyProtection="1">
      <alignment horizontal="left" vertical="center"/>
      <protection/>
    </xf>
    <xf numFmtId="0" fontId="50" fillId="33" borderId="37" xfId="0" applyNumberFormat="1" applyFont="1" applyFill="1" applyBorder="1" applyAlignment="1" applyProtection="1">
      <alignment horizontal="left" vertical="center"/>
      <protection/>
    </xf>
    <xf numFmtId="0" fontId="50" fillId="33" borderId="11" xfId="0" applyNumberFormat="1" applyFont="1" applyFill="1" applyBorder="1" applyAlignment="1" applyProtection="1">
      <alignment horizontal="left" vertical="center"/>
      <protection/>
    </xf>
    <xf numFmtId="0" fontId="50" fillId="33" borderId="13" xfId="0" applyNumberFormat="1" applyFont="1" applyFill="1" applyBorder="1" applyAlignment="1" applyProtection="1">
      <alignment horizontal="left" vertical="center"/>
      <protection/>
    </xf>
    <xf numFmtId="0" fontId="51" fillId="0" borderId="39" xfId="0" applyNumberFormat="1" applyFont="1" applyFill="1" applyBorder="1" applyAlignment="1" applyProtection="1">
      <alignment horizontal="left" vertical="center"/>
      <protection/>
    </xf>
    <xf numFmtId="0" fontId="51" fillId="0" borderId="20" xfId="0" applyNumberFormat="1" applyFont="1" applyFill="1" applyBorder="1" applyAlignment="1" applyProtection="1">
      <alignment horizontal="left" vertical="center"/>
      <protection/>
    </xf>
    <xf numFmtId="0" fontId="51" fillId="0" borderId="29" xfId="0" applyNumberFormat="1" applyFont="1" applyFill="1" applyBorder="1" applyAlignment="1" applyProtection="1">
      <alignment horizontal="left" vertical="center"/>
      <protection/>
    </xf>
    <xf numFmtId="0" fontId="51" fillId="0" borderId="40" xfId="0" applyNumberFormat="1" applyFont="1" applyFill="1" applyBorder="1" applyAlignment="1" applyProtection="1">
      <alignment horizontal="left" vertical="center"/>
      <protection/>
    </xf>
    <xf numFmtId="0" fontId="51" fillId="0" borderId="41" xfId="0" applyNumberFormat="1" applyFont="1" applyFill="1" applyBorder="1" applyAlignment="1" applyProtection="1">
      <alignment horizontal="left" vertical="center"/>
      <protection/>
    </xf>
    <xf numFmtId="0" fontId="51" fillId="0" borderId="42" xfId="0" applyNumberFormat="1" applyFont="1" applyFill="1" applyBorder="1" applyAlignment="1" applyProtection="1">
      <alignment horizontal="left" vertical="center"/>
      <protection/>
    </xf>
    <xf numFmtId="0" fontId="51" fillId="0" borderId="27" xfId="0" applyNumberFormat="1" applyFont="1" applyFill="1" applyBorder="1" applyAlignment="1" applyProtection="1">
      <alignment horizontal="left" vertical="center"/>
      <protection/>
    </xf>
    <xf numFmtId="0" fontId="51" fillId="0" borderId="19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7</xdr:row>
      <xdr:rowOff>114300</xdr:rowOff>
    </xdr:from>
    <xdr:to>
      <xdr:col>6</xdr:col>
      <xdr:colOff>209550</xdr:colOff>
      <xdr:row>10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0859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I4" sqref="I4:I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1" t="s">
        <v>128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34</v>
      </c>
      <c r="B2" s="60"/>
      <c r="C2" s="66" t="str">
        <f>'Stavební rozpočet'!C2</f>
        <v>STAVEBNÍ ÚPRAVY ZÁZEMÍ PEČOVATELEK, BYTOVÉ JEDNOTCE č. 108 V 2. np</v>
      </c>
      <c r="D2" s="83"/>
      <c r="E2" s="64" t="s">
        <v>446</v>
      </c>
      <c r="F2" s="64" t="str">
        <f>'Stavební rozpočet'!G2</f>
        <v>Městské zařízení sociálních služeb Karlovy Vary, p</v>
      </c>
      <c r="G2" s="60"/>
      <c r="H2" s="64" t="s">
        <v>338</v>
      </c>
      <c r="I2" s="68" t="s">
        <v>356</v>
      </c>
    </row>
    <row r="3" spans="1:9" ht="25.5" customHeight="1">
      <c r="A3" s="61"/>
      <c r="B3" s="62"/>
      <c r="C3" s="67"/>
      <c r="D3" s="67"/>
      <c r="E3" s="62"/>
      <c r="F3" s="62"/>
      <c r="G3" s="62"/>
      <c r="H3" s="62"/>
      <c r="I3" s="69"/>
    </row>
    <row r="4" spans="1:9" ht="15" customHeight="1">
      <c r="A4" s="63" t="s">
        <v>286</v>
      </c>
      <c r="B4" s="62"/>
      <c r="C4" s="65" t="str">
        <f>'Stavební rozpočet'!C4</f>
        <v>RT-2144-22</v>
      </c>
      <c r="D4" s="62"/>
      <c r="E4" s="65" t="s">
        <v>354</v>
      </c>
      <c r="F4" s="65" t="str">
        <f>'Stavební rozpočet'!G4</f>
        <v>Ing Jan Hruška, Josefa Lady 199, K.Vary-Olšová Vra</v>
      </c>
      <c r="G4" s="62"/>
      <c r="H4" s="65" t="s">
        <v>338</v>
      </c>
      <c r="I4" s="69" t="s">
        <v>356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69"/>
    </row>
    <row r="6" spans="1:9" ht="15" customHeight="1">
      <c r="A6" s="63" t="s">
        <v>45</v>
      </c>
      <c r="B6" s="62"/>
      <c r="C6" s="65" t="str">
        <f>'Stavební rozpočet'!C6</f>
        <v>KARLOVY VARY, VÝCHODNÍ 16</v>
      </c>
      <c r="D6" s="62"/>
      <c r="E6" s="65" t="s">
        <v>466</v>
      </c>
      <c r="F6" s="65" t="str">
        <f>'Stavební rozpočet'!G6</f>
        <v> </v>
      </c>
      <c r="G6" s="62"/>
      <c r="H6" s="65" t="s">
        <v>338</v>
      </c>
      <c r="I6" s="69" t="s">
        <v>356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69"/>
    </row>
    <row r="8" spans="1:9" ht="15" customHeight="1">
      <c r="A8" s="63" t="s">
        <v>476</v>
      </c>
      <c r="B8" s="62"/>
      <c r="C8" s="65" t="str">
        <f>'Stavební rozpočet'!E4</f>
        <v> </v>
      </c>
      <c r="D8" s="62"/>
      <c r="E8" s="65" t="s">
        <v>167</v>
      </c>
      <c r="F8" s="65" t="str">
        <f>'Stavební rozpočet'!E6</f>
        <v> </v>
      </c>
      <c r="G8" s="62"/>
      <c r="H8" s="62" t="s">
        <v>545</v>
      </c>
      <c r="I8" s="84">
        <v>130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69"/>
    </row>
    <row r="10" spans="1:9" ht="15" customHeight="1">
      <c r="A10" s="63" t="s">
        <v>256</v>
      </c>
      <c r="B10" s="62"/>
      <c r="C10" s="65" t="str">
        <f>'Stavební rozpočet'!C8</f>
        <v>803</v>
      </c>
      <c r="D10" s="62"/>
      <c r="E10" s="65" t="s">
        <v>346</v>
      </c>
      <c r="F10" s="65" t="str">
        <f>'Stavební rozpočet'!G8</f>
        <v>Volek S</v>
      </c>
      <c r="G10" s="62"/>
      <c r="H10" s="62" t="s">
        <v>522</v>
      </c>
      <c r="I10" s="80" t="str">
        <f>'Stavební rozpočet'!E8</f>
        <v>11.12.2021</v>
      </c>
    </row>
    <row r="11" spans="1:9" ht="15" customHeight="1">
      <c r="A11" s="82"/>
      <c r="B11" s="78"/>
      <c r="C11" s="78"/>
      <c r="D11" s="78"/>
      <c r="E11" s="78"/>
      <c r="F11" s="78"/>
      <c r="G11" s="78"/>
      <c r="H11" s="78"/>
      <c r="I11" s="85"/>
    </row>
    <row r="12" spans="1:9" ht="22.5" customHeight="1">
      <c r="A12" s="86" t="s">
        <v>92</v>
      </c>
      <c r="B12" s="86"/>
      <c r="C12" s="86"/>
      <c r="D12" s="86"/>
      <c r="E12" s="86"/>
      <c r="F12" s="86"/>
      <c r="G12" s="86"/>
      <c r="H12" s="86"/>
      <c r="I12" s="86"/>
    </row>
    <row r="13" spans="1:9" ht="26.25" customHeight="1">
      <c r="A13" s="27" t="s">
        <v>478</v>
      </c>
      <c r="B13" s="87" t="s">
        <v>78</v>
      </c>
      <c r="C13" s="88"/>
      <c r="D13" s="29" t="s">
        <v>102</v>
      </c>
      <c r="E13" s="87" t="s">
        <v>192</v>
      </c>
      <c r="F13" s="88"/>
      <c r="G13" s="29" t="s">
        <v>328</v>
      </c>
      <c r="H13" s="87" t="s">
        <v>104</v>
      </c>
      <c r="I13" s="88"/>
    </row>
    <row r="14" spans="1:9" ht="15" customHeight="1">
      <c r="A14" s="25" t="s">
        <v>196</v>
      </c>
      <c r="B14" s="22" t="s">
        <v>144</v>
      </c>
      <c r="C14" s="15">
        <f>SUM('Stavební rozpočet'!AB12:AB229)</f>
        <v>0</v>
      </c>
      <c r="D14" s="95" t="s">
        <v>373</v>
      </c>
      <c r="E14" s="96"/>
      <c r="F14" s="15">
        <v>0</v>
      </c>
      <c r="G14" s="95" t="s">
        <v>59</v>
      </c>
      <c r="H14" s="96"/>
      <c r="I14" s="49" t="s">
        <v>276</v>
      </c>
    </row>
    <row r="15" spans="1:9" ht="15" customHeight="1">
      <c r="A15" s="12" t="s">
        <v>356</v>
      </c>
      <c r="B15" s="22" t="s">
        <v>109</v>
      </c>
      <c r="C15" s="15">
        <f>SUM('Stavební rozpočet'!AC12:AC229)</f>
        <v>0</v>
      </c>
      <c r="D15" s="95" t="s">
        <v>54</v>
      </c>
      <c r="E15" s="96"/>
      <c r="F15" s="15">
        <v>0</v>
      </c>
      <c r="G15" s="95" t="s">
        <v>415</v>
      </c>
      <c r="H15" s="96"/>
      <c r="I15" s="49" t="s">
        <v>276</v>
      </c>
    </row>
    <row r="16" spans="1:9" ht="15" customHeight="1">
      <c r="A16" s="25" t="s">
        <v>50</v>
      </c>
      <c r="B16" s="22" t="s">
        <v>144</v>
      </c>
      <c r="C16" s="15">
        <f>SUM('Stavební rozpočet'!AD12:AD229)</f>
        <v>0</v>
      </c>
      <c r="D16" s="95" t="s">
        <v>386</v>
      </c>
      <c r="E16" s="96"/>
      <c r="F16" s="15">
        <v>0</v>
      </c>
      <c r="G16" s="95" t="s">
        <v>514</v>
      </c>
      <c r="H16" s="96"/>
      <c r="I16" s="49" t="s">
        <v>276</v>
      </c>
    </row>
    <row r="17" spans="1:9" ht="15" customHeight="1">
      <c r="A17" s="12" t="s">
        <v>356</v>
      </c>
      <c r="B17" s="22" t="s">
        <v>109</v>
      </c>
      <c r="C17" s="15">
        <f>SUM('Stavební rozpočet'!AE12:AE229)</f>
        <v>0</v>
      </c>
      <c r="D17" s="95" t="s">
        <v>356</v>
      </c>
      <c r="E17" s="96"/>
      <c r="F17" s="49" t="s">
        <v>356</v>
      </c>
      <c r="G17" s="95" t="s">
        <v>278</v>
      </c>
      <c r="H17" s="96"/>
      <c r="I17" s="49" t="s">
        <v>276</v>
      </c>
    </row>
    <row r="18" spans="1:9" ht="15" customHeight="1">
      <c r="A18" s="25" t="s">
        <v>163</v>
      </c>
      <c r="B18" s="22" t="s">
        <v>144</v>
      </c>
      <c r="C18" s="15">
        <f>SUM('Stavební rozpočet'!AF12:AF229)</f>
        <v>0</v>
      </c>
      <c r="D18" s="95" t="s">
        <v>356</v>
      </c>
      <c r="E18" s="96"/>
      <c r="F18" s="49" t="s">
        <v>356</v>
      </c>
      <c r="G18" s="95" t="s">
        <v>342</v>
      </c>
      <c r="H18" s="96"/>
      <c r="I18" s="49" t="s">
        <v>276</v>
      </c>
    </row>
    <row r="19" spans="1:9" ht="15" customHeight="1">
      <c r="A19" s="12" t="s">
        <v>356</v>
      </c>
      <c r="B19" s="22" t="s">
        <v>109</v>
      </c>
      <c r="C19" s="15">
        <f>SUM('Stavební rozpočet'!AG12:AG229)</f>
        <v>0</v>
      </c>
      <c r="D19" s="95" t="s">
        <v>356</v>
      </c>
      <c r="E19" s="96"/>
      <c r="F19" s="49" t="s">
        <v>356</v>
      </c>
      <c r="G19" s="95" t="s">
        <v>533</v>
      </c>
      <c r="H19" s="96"/>
      <c r="I19" s="49" t="s">
        <v>276</v>
      </c>
    </row>
    <row r="20" spans="1:9" ht="15" customHeight="1">
      <c r="A20" s="89" t="s">
        <v>35</v>
      </c>
      <c r="B20" s="90"/>
      <c r="C20" s="15">
        <f>SUM('Stavební rozpočet'!AH12:AH229)</f>
        <v>0</v>
      </c>
      <c r="D20" s="95" t="s">
        <v>356</v>
      </c>
      <c r="E20" s="96"/>
      <c r="F20" s="49" t="s">
        <v>356</v>
      </c>
      <c r="G20" s="95" t="s">
        <v>356</v>
      </c>
      <c r="H20" s="96"/>
      <c r="I20" s="49" t="s">
        <v>356</v>
      </c>
    </row>
    <row r="21" spans="1:9" ht="15" customHeight="1">
      <c r="A21" s="91" t="s">
        <v>532</v>
      </c>
      <c r="B21" s="92"/>
      <c r="C21" s="36">
        <f>SUM('Stavební rozpočet'!Z12:Z229)</f>
        <v>0</v>
      </c>
      <c r="D21" s="97" t="s">
        <v>356</v>
      </c>
      <c r="E21" s="98"/>
      <c r="F21" s="45" t="s">
        <v>356</v>
      </c>
      <c r="G21" s="97" t="s">
        <v>356</v>
      </c>
      <c r="H21" s="98"/>
      <c r="I21" s="45" t="s">
        <v>356</v>
      </c>
    </row>
    <row r="22" spans="1:9" ht="16.5" customHeight="1">
      <c r="A22" s="93" t="s">
        <v>113</v>
      </c>
      <c r="B22" s="94"/>
      <c r="C22" s="14">
        <f>SUM(C14:C21)</f>
        <v>0</v>
      </c>
      <c r="D22" s="99" t="s">
        <v>267</v>
      </c>
      <c r="E22" s="94"/>
      <c r="F22" s="14">
        <f>SUM(F14:F21)</f>
        <v>0</v>
      </c>
      <c r="G22" s="99" t="s">
        <v>546</v>
      </c>
      <c r="H22" s="94"/>
      <c r="I22" s="14">
        <f>SUM(I14:I21)</f>
        <v>0</v>
      </c>
    </row>
    <row r="23" spans="4:9" ht="15" customHeight="1">
      <c r="D23" s="89" t="s">
        <v>419</v>
      </c>
      <c r="E23" s="90"/>
      <c r="F23" s="46">
        <v>0</v>
      </c>
      <c r="G23" s="100" t="s">
        <v>21</v>
      </c>
      <c r="H23" s="90"/>
      <c r="I23" s="15">
        <v>0</v>
      </c>
    </row>
    <row r="24" spans="7:8" ht="15" customHeight="1">
      <c r="G24" s="89" t="s">
        <v>355</v>
      </c>
      <c r="H24" s="90"/>
    </row>
    <row r="25" spans="7:9" ht="15" customHeight="1">
      <c r="G25" s="89" t="s">
        <v>401</v>
      </c>
      <c r="H25" s="90"/>
      <c r="I25" s="14">
        <v>0</v>
      </c>
    </row>
    <row r="27" spans="1:3" ht="15" customHeight="1">
      <c r="A27" s="101" t="s">
        <v>213</v>
      </c>
      <c r="B27" s="102"/>
      <c r="C27" s="32">
        <f>SUM('Stavební rozpočet'!AJ12:AJ229)</f>
        <v>0</v>
      </c>
    </row>
    <row r="28" spans="1:9" ht="15" customHeight="1">
      <c r="A28" s="103" t="s">
        <v>8</v>
      </c>
      <c r="B28" s="104"/>
      <c r="C28" s="44">
        <f>SUM('Stavební rozpočet'!AK12:AK229)</f>
        <v>0</v>
      </c>
      <c r="D28" s="102" t="s">
        <v>124</v>
      </c>
      <c r="E28" s="102"/>
      <c r="F28" s="32">
        <f>ROUND(C28*(15/100),2)</f>
        <v>0</v>
      </c>
      <c r="G28" s="102" t="s">
        <v>82</v>
      </c>
      <c r="H28" s="102"/>
      <c r="I28" s="32">
        <f>SUM(C27:C29)</f>
        <v>0</v>
      </c>
    </row>
    <row r="29" spans="1:9" ht="15" customHeight="1">
      <c r="A29" s="103" t="s">
        <v>17</v>
      </c>
      <c r="B29" s="104"/>
      <c r="C29" s="44">
        <f>SUM('Stavební rozpočet'!AL12:AL229)+(F22+I22+F23+I23+I24+I25)</f>
        <v>0</v>
      </c>
      <c r="D29" s="104" t="s">
        <v>393</v>
      </c>
      <c r="E29" s="104"/>
      <c r="F29" s="44">
        <f>ROUND(C29*(21/100),2)</f>
        <v>0</v>
      </c>
      <c r="G29" s="104" t="s">
        <v>208</v>
      </c>
      <c r="H29" s="104"/>
      <c r="I29" s="44">
        <f>SUM(F28:F29)+I28</f>
        <v>0</v>
      </c>
    </row>
    <row r="31" spans="1:9" ht="15" customHeight="1">
      <c r="A31" s="105" t="s">
        <v>4</v>
      </c>
      <c r="B31" s="106"/>
      <c r="C31" s="107"/>
      <c r="D31" s="106" t="s">
        <v>503</v>
      </c>
      <c r="E31" s="106"/>
      <c r="F31" s="107"/>
      <c r="G31" s="106" t="s">
        <v>351</v>
      </c>
      <c r="H31" s="106"/>
      <c r="I31" s="107"/>
    </row>
    <row r="32" spans="1:9" ht="15" customHeight="1">
      <c r="A32" s="108" t="s">
        <v>356</v>
      </c>
      <c r="B32" s="97"/>
      <c r="C32" s="109"/>
      <c r="D32" s="97" t="s">
        <v>356</v>
      </c>
      <c r="E32" s="97"/>
      <c r="F32" s="109"/>
      <c r="G32" s="97" t="s">
        <v>356</v>
      </c>
      <c r="H32" s="97"/>
      <c r="I32" s="109"/>
    </row>
    <row r="33" spans="1:9" ht="15" customHeight="1">
      <c r="A33" s="108" t="s">
        <v>356</v>
      </c>
      <c r="B33" s="97"/>
      <c r="C33" s="109"/>
      <c r="D33" s="97" t="s">
        <v>356</v>
      </c>
      <c r="E33" s="97"/>
      <c r="F33" s="109"/>
      <c r="G33" s="97" t="s">
        <v>356</v>
      </c>
      <c r="H33" s="97"/>
      <c r="I33" s="109"/>
    </row>
    <row r="34" spans="1:9" ht="15" customHeight="1">
      <c r="A34" s="108" t="s">
        <v>356</v>
      </c>
      <c r="B34" s="97"/>
      <c r="C34" s="109"/>
      <c r="D34" s="97" t="s">
        <v>356</v>
      </c>
      <c r="E34" s="97"/>
      <c r="F34" s="109"/>
      <c r="G34" s="97" t="s">
        <v>356</v>
      </c>
      <c r="H34" s="97"/>
      <c r="I34" s="109"/>
    </row>
    <row r="35" spans="1:9" ht="15" customHeight="1">
      <c r="A35" s="110" t="s">
        <v>110</v>
      </c>
      <c r="B35" s="111"/>
      <c r="C35" s="112"/>
      <c r="D35" s="111" t="s">
        <v>110</v>
      </c>
      <c r="E35" s="111"/>
      <c r="F35" s="112"/>
      <c r="G35" s="111" t="s">
        <v>110</v>
      </c>
      <c r="H35" s="111"/>
      <c r="I35" s="112"/>
    </row>
    <row r="36" ht="15" customHeight="1">
      <c r="A36" s="8" t="s">
        <v>42</v>
      </c>
    </row>
    <row r="37" spans="1:9" ht="13.5" customHeight="1">
      <c r="A37" s="65" t="s">
        <v>389</v>
      </c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1.1811023622047245" right="0.3937007874015748" top="0.5905511811023623" bottom="0.5905511811023623" header="0" footer="0"/>
  <pageSetup firstPageNumber="0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OutlineSymbols="0" zoomScalePageLayoutView="0" workbookViewId="0" topLeftCell="A1">
      <pane ySplit="11" topLeftCell="A12" activePane="bottomLeft" state="frozen"/>
      <selection pane="topLeft" activeCell="C30" sqref="C30:D30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58" t="s">
        <v>439</v>
      </c>
      <c r="B1" s="58"/>
      <c r="C1" s="58"/>
      <c r="D1" s="58"/>
      <c r="E1" s="58"/>
      <c r="F1" s="58"/>
      <c r="G1" s="58"/>
    </row>
    <row r="2" spans="1:7" ht="15" customHeight="1">
      <c r="A2" s="59" t="s">
        <v>34</v>
      </c>
      <c r="B2" s="60"/>
      <c r="C2" s="66" t="str">
        <f>'Stavební rozpočet'!C2</f>
        <v>STAVEBNÍ ÚPRAVY ZÁZEMÍ PEČOVATELEK, BYTOVÉ JEDNOTCE č. 108 V 2. np</v>
      </c>
      <c r="D2" s="60" t="s">
        <v>3</v>
      </c>
      <c r="E2" s="60" t="s">
        <v>492</v>
      </c>
      <c r="F2" s="64" t="s">
        <v>446</v>
      </c>
      <c r="G2" s="79" t="str">
        <f>'Stavební rozpočet'!G2</f>
        <v>Městské zařízení sociálních služeb Karlovy Vary, p</v>
      </c>
    </row>
    <row r="3" spans="1:7" ht="15" customHeight="1">
      <c r="A3" s="61"/>
      <c r="B3" s="62"/>
      <c r="C3" s="67"/>
      <c r="D3" s="62"/>
      <c r="E3" s="62"/>
      <c r="F3" s="62"/>
      <c r="G3" s="69"/>
    </row>
    <row r="4" spans="1:7" ht="15" customHeight="1">
      <c r="A4" s="63" t="s">
        <v>286</v>
      </c>
      <c r="B4" s="62"/>
      <c r="C4" s="65" t="str">
        <f>'Stavební rozpočet'!C4</f>
        <v>RT-2144-22</v>
      </c>
      <c r="D4" s="62" t="s">
        <v>476</v>
      </c>
      <c r="E4" s="62" t="s">
        <v>492</v>
      </c>
      <c r="F4" s="65" t="s">
        <v>354</v>
      </c>
      <c r="G4" s="80" t="str">
        <f>'Stavební rozpočet'!G4</f>
        <v>Ing Jan Hruška, Josefa Lady 199, K.Vary-Olšová Vra</v>
      </c>
    </row>
    <row r="5" spans="1:7" ht="15" customHeight="1">
      <c r="A5" s="61"/>
      <c r="B5" s="62"/>
      <c r="C5" s="62"/>
      <c r="D5" s="62"/>
      <c r="E5" s="62"/>
      <c r="F5" s="62"/>
      <c r="G5" s="69"/>
    </row>
    <row r="6" spans="1:7" ht="15" customHeight="1">
      <c r="A6" s="63" t="s">
        <v>45</v>
      </c>
      <c r="B6" s="62"/>
      <c r="C6" s="65" t="str">
        <f>'Stavební rozpočet'!C6</f>
        <v>KARLOVY VARY, VÝCHODNÍ 16</v>
      </c>
      <c r="D6" s="62" t="s">
        <v>167</v>
      </c>
      <c r="E6" s="62" t="s">
        <v>492</v>
      </c>
      <c r="F6" s="65" t="s">
        <v>466</v>
      </c>
      <c r="G6" s="80" t="str">
        <f>'Stavební rozpočet'!G6</f>
        <v> </v>
      </c>
    </row>
    <row r="7" spans="1:7" ht="15" customHeight="1">
      <c r="A7" s="61"/>
      <c r="B7" s="62"/>
      <c r="C7" s="62"/>
      <c r="D7" s="62"/>
      <c r="E7" s="62"/>
      <c r="F7" s="62"/>
      <c r="G7" s="69"/>
    </row>
    <row r="8" spans="1:7" ht="15" customHeight="1">
      <c r="A8" s="63" t="s">
        <v>346</v>
      </c>
      <c r="B8" s="62"/>
      <c r="C8" s="65" t="str">
        <f>'Stavební rozpočet'!G8</f>
        <v>Volek S</v>
      </c>
      <c r="D8" s="62" t="s">
        <v>295</v>
      </c>
      <c r="E8" s="62" t="s">
        <v>137</v>
      </c>
      <c r="F8" s="62" t="s">
        <v>295</v>
      </c>
      <c r="G8" s="80" t="str">
        <f>'Stavební rozpočet'!E8</f>
        <v>11.12.2021</v>
      </c>
    </row>
    <row r="9" spans="1:7" ht="15" customHeight="1">
      <c r="A9" s="61"/>
      <c r="B9" s="62"/>
      <c r="C9" s="62"/>
      <c r="D9" s="78"/>
      <c r="E9" s="62"/>
      <c r="F9" s="62"/>
      <c r="G9" s="69"/>
    </row>
    <row r="10" spans="1:7" ht="15" customHeight="1">
      <c r="A10" s="42" t="s">
        <v>387</v>
      </c>
      <c r="B10" s="11" t="s">
        <v>171</v>
      </c>
      <c r="C10" s="9" t="s">
        <v>579</v>
      </c>
      <c r="E10" s="39" t="s">
        <v>262</v>
      </c>
      <c r="F10" s="56" t="s">
        <v>601</v>
      </c>
      <c r="G10" s="56" t="s">
        <v>27</v>
      </c>
    </row>
    <row r="11" spans="1:9" ht="15" customHeight="1">
      <c r="A11" s="33" t="s">
        <v>356</v>
      </c>
      <c r="B11" s="6" t="s">
        <v>595</v>
      </c>
      <c r="C11" s="62" t="s">
        <v>134</v>
      </c>
      <c r="D11" s="62"/>
      <c r="E11" s="26">
        <f>'Stavební rozpočet'!J12</f>
        <v>0</v>
      </c>
      <c r="F11" s="26">
        <f>'Stavební rozpočet'!K12</f>
        <v>0</v>
      </c>
      <c r="G11" s="26">
        <f>'Stavební rozpočet'!L12</f>
        <v>0</v>
      </c>
      <c r="H11" s="28" t="s">
        <v>519</v>
      </c>
      <c r="I11" s="26">
        <f aca="true" t="shared" si="0" ref="I11:I30">IF(H11="F",0,G11)</f>
        <v>0</v>
      </c>
    </row>
    <row r="12" spans="1:9" ht="15" customHeight="1">
      <c r="A12" s="33" t="s">
        <v>356</v>
      </c>
      <c r="B12" s="6" t="s">
        <v>376</v>
      </c>
      <c r="C12" s="62" t="s">
        <v>372</v>
      </c>
      <c r="D12" s="62"/>
      <c r="E12" s="26">
        <f>'Stavební rozpočet'!J19</f>
        <v>0</v>
      </c>
      <c r="F12" s="26">
        <f>'Stavební rozpočet'!K19</f>
        <v>0</v>
      </c>
      <c r="G12" s="26">
        <f>'Stavební rozpočet'!L19</f>
        <v>0</v>
      </c>
      <c r="H12" s="28" t="s">
        <v>519</v>
      </c>
      <c r="I12" s="26">
        <f t="shared" si="0"/>
        <v>0</v>
      </c>
    </row>
    <row r="13" spans="1:9" ht="15" customHeight="1">
      <c r="A13" s="33" t="s">
        <v>356</v>
      </c>
      <c r="B13" s="6" t="s">
        <v>130</v>
      </c>
      <c r="C13" s="62" t="s">
        <v>548</v>
      </c>
      <c r="D13" s="62"/>
      <c r="E13" s="26">
        <f>'Stavební rozpočet'!J28</f>
        <v>0</v>
      </c>
      <c r="F13" s="26">
        <f>'Stavební rozpočet'!K28</f>
        <v>0</v>
      </c>
      <c r="G13" s="26">
        <f>'Stavební rozpočet'!L28</f>
        <v>0</v>
      </c>
      <c r="H13" s="28" t="s">
        <v>519</v>
      </c>
      <c r="I13" s="26">
        <f t="shared" si="0"/>
        <v>0</v>
      </c>
    </row>
    <row r="14" spans="1:9" ht="15" customHeight="1">
      <c r="A14" s="33" t="s">
        <v>356</v>
      </c>
      <c r="B14" s="6" t="s">
        <v>28</v>
      </c>
      <c r="C14" s="62" t="s">
        <v>598</v>
      </c>
      <c r="D14" s="62"/>
      <c r="E14" s="26">
        <f>'Stavební rozpočet'!J35</f>
        <v>0</v>
      </c>
      <c r="F14" s="26">
        <f>'Stavební rozpočet'!K35</f>
        <v>0</v>
      </c>
      <c r="G14" s="26">
        <f>'Stavební rozpočet'!L35</f>
        <v>0</v>
      </c>
      <c r="H14" s="28" t="s">
        <v>519</v>
      </c>
      <c r="I14" s="26">
        <f t="shared" si="0"/>
        <v>0</v>
      </c>
    </row>
    <row r="15" spans="1:9" ht="15" customHeight="1">
      <c r="A15" s="33" t="s">
        <v>356</v>
      </c>
      <c r="B15" s="6" t="s">
        <v>332</v>
      </c>
      <c r="C15" s="62" t="s">
        <v>603</v>
      </c>
      <c r="D15" s="62"/>
      <c r="E15" s="26">
        <f>'Stavební rozpočet'!J46</f>
        <v>0</v>
      </c>
      <c r="F15" s="26">
        <f>'Stavební rozpočet'!K46</f>
        <v>0</v>
      </c>
      <c r="G15" s="26">
        <f>'Stavební rozpočet'!L46</f>
        <v>0</v>
      </c>
      <c r="H15" s="28" t="s">
        <v>519</v>
      </c>
      <c r="I15" s="26">
        <f t="shared" si="0"/>
        <v>0</v>
      </c>
    </row>
    <row r="16" spans="1:9" ht="15" customHeight="1">
      <c r="A16" s="33" t="s">
        <v>356</v>
      </c>
      <c r="B16" s="6" t="s">
        <v>481</v>
      </c>
      <c r="C16" s="62" t="s">
        <v>318</v>
      </c>
      <c r="D16" s="62"/>
      <c r="E16" s="26">
        <f>'Stavební rozpočet'!J54</f>
        <v>0</v>
      </c>
      <c r="F16" s="26">
        <f>'Stavební rozpočet'!K54</f>
        <v>0</v>
      </c>
      <c r="G16" s="26">
        <f>'Stavební rozpočet'!L54</f>
        <v>0</v>
      </c>
      <c r="H16" s="28" t="s">
        <v>519</v>
      </c>
      <c r="I16" s="26">
        <f t="shared" si="0"/>
        <v>0</v>
      </c>
    </row>
    <row r="17" spans="1:9" ht="15" customHeight="1">
      <c r="A17" s="33" t="s">
        <v>356</v>
      </c>
      <c r="B17" s="6" t="s">
        <v>517</v>
      </c>
      <c r="C17" s="62" t="s">
        <v>311</v>
      </c>
      <c r="D17" s="62"/>
      <c r="E17" s="26">
        <f>'Stavební rozpočet'!J64</f>
        <v>0</v>
      </c>
      <c r="F17" s="26">
        <f>'Stavební rozpočet'!K64</f>
        <v>0</v>
      </c>
      <c r="G17" s="26">
        <f>'Stavební rozpočet'!L64</f>
        <v>0</v>
      </c>
      <c r="H17" s="28" t="s">
        <v>519</v>
      </c>
      <c r="I17" s="26">
        <f t="shared" si="0"/>
        <v>0</v>
      </c>
    </row>
    <row r="18" spans="1:9" ht="15" customHeight="1">
      <c r="A18" s="33" t="s">
        <v>356</v>
      </c>
      <c r="B18" s="6" t="s">
        <v>297</v>
      </c>
      <c r="C18" s="62" t="s">
        <v>567</v>
      </c>
      <c r="D18" s="62"/>
      <c r="E18" s="26">
        <f>'Stavební rozpočet'!J86</f>
        <v>0</v>
      </c>
      <c r="F18" s="26">
        <f>'Stavební rozpočet'!K86</f>
        <v>0</v>
      </c>
      <c r="G18" s="26">
        <f>'Stavební rozpočet'!L86</f>
        <v>0</v>
      </c>
      <c r="H18" s="28" t="s">
        <v>519</v>
      </c>
      <c r="I18" s="26">
        <f t="shared" si="0"/>
        <v>0</v>
      </c>
    </row>
    <row r="19" spans="1:9" ht="15" customHeight="1">
      <c r="A19" s="33" t="s">
        <v>356</v>
      </c>
      <c r="B19" s="6" t="s">
        <v>216</v>
      </c>
      <c r="C19" s="62" t="s">
        <v>248</v>
      </c>
      <c r="D19" s="62"/>
      <c r="E19" s="26">
        <f>'Stavební rozpočet'!J93</f>
        <v>0</v>
      </c>
      <c r="F19" s="26">
        <f>'Stavební rozpočet'!K93</f>
        <v>0</v>
      </c>
      <c r="G19" s="26">
        <f>'Stavební rozpočet'!L93</f>
        <v>0</v>
      </c>
      <c r="H19" s="28" t="s">
        <v>519</v>
      </c>
      <c r="I19" s="26">
        <f t="shared" si="0"/>
        <v>0</v>
      </c>
    </row>
    <row r="20" spans="1:9" ht="15" customHeight="1">
      <c r="A20" s="33" t="s">
        <v>356</v>
      </c>
      <c r="B20" s="6" t="s">
        <v>586</v>
      </c>
      <c r="C20" s="62" t="s">
        <v>469</v>
      </c>
      <c r="D20" s="62"/>
      <c r="E20" s="26">
        <f>'Stavební rozpočet'!J98</f>
        <v>0</v>
      </c>
      <c r="F20" s="26">
        <f>'Stavební rozpočet'!K98</f>
        <v>0</v>
      </c>
      <c r="G20" s="26">
        <f>'Stavební rozpočet'!L98</f>
        <v>0</v>
      </c>
      <c r="H20" s="28" t="s">
        <v>519</v>
      </c>
      <c r="I20" s="26">
        <f t="shared" si="0"/>
        <v>0</v>
      </c>
    </row>
    <row r="21" spans="1:9" ht="15" customHeight="1">
      <c r="A21" s="33" t="s">
        <v>356</v>
      </c>
      <c r="B21" s="6" t="s">
        <v>410</v>
      </c>
      <c r="C21" s="62" t="s">
        <v>345</v>
      </c>
      <c r="D21" s="62"/>
      <c r="E21" s="26">
        <f>'Stavební rozpočet'!J106</f>
        <v>0</v>
      </c>
      <c r="F21" s="26">
        <f>'Stavební rozpočet'!K106</f>
        <v>0</v>
      </c>
      <c r="G21" s="26">
        <f>'Stavební rozpočet'!L106</f>
        <v>0</v>
      </c>
      <c r="H21" s="28" t="s">
        <v>519</v>
      </c>
      <c r="I21" s="26">
        <f t="shared" si="0"/>
        <v>0</v>
      </c>
    </row>
    <row r="22" spans="1:9" ht="15" customHeight="1">
      <c r="A22" s="33" t="s">
        <v>356</v>
      </c>
      <c r="B22" s="6" t="s">
        <v>424</v>
      </c>
      <c r="C22" s="62" t="s">
        <v>229</v>
      </c>
      <c r="D22" s="62"/>
      <c r="E22" s="26">
        <f>'Stavební rozpočet'!J118</f>
        <v>0</v>
      </c>
      <c r="F22" s="26">
        <f>'Stavební rozpočet'!K118</f>
        <v>0</v>
      </c>
      <c r="G22" s="26">
        <f>'Stavební rozpočet'!L118</f>
        <v>0</v>
      </c>
      <c r="H22" s="28" t="s">
        <v>519</v>
      </c>
      <c r="I22" s="26">
        <f t="shared" si="0"/>
        <v>0</v>
      </c>
    </row>
    <row r="23" spans="1:9" ht="15" customHeight="1">
      <c r="A23" s="33" t="s">
        <v>356</v>
      </c>
      <c r="B23" s="6" t="s">
        <v>298</v>
      </c>
      <c r="C23" s="62" t="s">
        <v>416</v>
      </c>
      <c r="D23" s="62"/>
      <c r="E23" s="26">
        <f>'Stavební rozpočet'!J132</f>
        <v>0</v>
      </c>
      <c r="F23" s="26">
        <f>'Stavební rozpočet'!K132</f>
        <v>0</v>
      </c>
      <c r="G23" s="26">
        <f>'Stavební rozpočet'!L132</f>
        <v>0</v>
      </c>
      <c r="H23" s="28" t="s">
        <v>519</v>
      </c>
      <c r="I23" s="26">
        <f t="shared" si="0"/>
        <v>0</v>
      </c>
    </row>
    <row r="24" spans="1:9" ht="15" customHeight="1">
      <c r="A24" s="33" t="s">
        <v>356</v>
      </c>
      <c r="B24" s="6" t="s">
        <v>291</v>
      </c>
      <c r="C24" s="62" t="s">
        <v>10</v>
      </c>
      <c r="D24" s="62"/>
      <c r="E24" s="26">
        <f>'Stavební rozpočet'!J136</f>
        <v>0</v>
      </c>
      <c r="F24" s="26">
        <f>'Stavební rozpočet'!K136</f>
        <v>0</v>
      </c>
      <c r="G24" s="26">
        <f>'Stavební rozpočet'!L136</f>
        <v>0</v>
      </c>
      <c r="H24" s="28" t="s">
        <v>519</v>
      </c>
      <c r="I24" s="26">
        <f t="shared" si="0"/>
        <v>0</v>
      </c>
    </row>
    <row r="25" spans="1:9" ht="15" customHeight="1">
      <c r="A25" s="33" t="s">
        <v>356</v>
      </c>
      <c r="B25" s="6" t="s">
        <v>70</v>
      </c>
      <c r="C25" s="62" t="s">
        <v>364</v>
      </c>
      <c r="D25" s="62"/>
      <c r="E25" s="26">
        <f>'Stavební rozpočet'!J143</f>
        <v>0</v>
      </c>
      <c r="F25" s="26">
        <f>'Stavební rozpočet'!K143</f>
        <v>0</v>
      </c>
      <c r="G25" s="26">
        <f>'Stavební rozpočet'!L143</f>
        <v>0</v>
      </c>
      <c r="H25" s="28" t="s">
        <v>519</v>
      </c>
      <c r="I25" s="26">
        <f t="shared" si="0"/>
        <v>0</v>
      </c>
    </row>
    <row r="26" spans="1:9" ht="15" customHeight="1">
      <c r="A26" s="33" t="s">
        <v>356</v>
      </c>
      <c r="B26" s="6" t="s">
        <v>205</v>
      </c>
      <c r="C26" s="62" t="s">
        <v>388</v>
      </c>
      <c r="D26" s="62"/>
      <c r="E26" s="26">
        <f>'Stavební rozpočet'!J146</f>
        <v>0</v>
      </c>
      <c r="F26" s="26">
        <f>'Stavební rozpočet'!K146</f>
        <v>0</v>
      </c>
      <c r="G26" s="26">
        <f>'Stavební rozpočet'!L146</f>
        <v>0</v>
      </c>
      <c r="H26" s="28" t="s">
        <v>519</v>
      </c>
      <c r="I26" s="26">
        <f t="shared" si="0"/>
        <v>0</v>
      </c>
    </row>
    <row r="27" spans="1:9" ht="15" customHeight="1">
      <c r="A27" s="33" t="s">
        <v>356</v>
      </c>
      <c r="B27" s="6" t="s">
        <v>293</v>
      </c>
      <c r="C27" s="62" t="s">
        <v>391</v>
      </c>
      <c r="D27" s="62"/>
      <c r="E27" s="26">
        <f>'Stavební rozpočet'!J152</f>
        <v>0</v>
      </c>
      <c r="F27" s="26">
        <f>'Stavební rozpočet'!K152</f>
        <v>0</v>
      </c>
      <c r="G27" s="26">
        <f>'Stavební rozpočet'!L152</f>
        <v>0</v>
      </c>
      <c r="H27" s="28" t="s">
        <v>519</v>
      </c>
      <c r="I27" s="26">
        <f t="shared" si="0"/>
        <v>0</v>
      </c>
    </row>
    <row r="28" spans="1:9" ht="15" customHeight="1">
      <c r="A28" s="33" t="s">
        <v>356</v>
      </c>
      <c r="B28" s="6" t="s">
        <v>569</v>
      </c>
      <c r="C28" s="62" t="s">
        <v>179</v>
      </c>
      <c r="D28" s="62"/>
      <c r="E28" s="26">
        <f>'Stavební rozpočet'!J167</f>
        <v>0</v>
      </c>
      <c r="F28" s="26">
        <f>'Stavební rozpočet'!K167</f>
        <v>0</v>
      </c>
      <c r="G28" s="26">
        <f>'Stavební rozpočet'!L167</f>
        <v>0</v>
      </c>
      <c r="H28" s="28" t="s">
        <v>519</v>
      </c>
      <c r="I28" s="26">
        <f t="shared" si="0"/>
        <v>0</v>
      </c>
    </row>
    <row r="29" spans="1:9" ht="15" customHeight="1">
      <c r="A29" s="33" t="s">
        <v>356</v>
      </c>
      <c r="B29" s="6" t="s">
        <v>85</v>
      </c>
      <c r="C29" s="62" t="s">
        <v>395</v>
      </c>
      <c r="D29" s="62"/>
      <c r="E29" s="26">
        <f>'Stavební rozpočet'!J170</f>
        <v>0</v>
      </c>
      <c r="F29" s="26">
        <f>'Stavební rozpočet'!K170</f>
        <v>0</v>
      </c>
      <c r="G29" s="26">
        <f>'Stavební rozpočet'!L170</f>
        <v>0</v>
      </c>
      <c r="H29" s="28" t="s">
        <v>519</v>
      </c>
      <c r="I29" s="26">
        <f t="shared" si="0"/>
        <v>0</v>
      </c>
    </row>
    <row r="30" spans="1:9" ht="15" customHeight="1">
      <c r="A30" s="33" t="s">
        <v>356</v>
      </c>
      <c r="B30" s="6" t="s">
        <v>172</v>
      </c>
      <c r="C30" s="62" t="s">
        <v>223</v>
      </c>
      <c r="D30" s="62"/>
      <c r="E30" s="26">
        <f>'Stavební rozpočet'!J204</f>
        <v>0</v>
      </c>
      <c r="F30" s="26">
        <f>'Stavební rozpočet'!K204</f>
        <v>0</v>
      </c>
      <c r="G30" s="26">
        <f>'Stavební rozpočet'!L204</f>
        <v>0</v>
      </c>
      <c r="H30" s="28" t="s">
        <v>519</v>
      </c>
      <c r="I30" s="26">
        <f t="shared" si="0"/>
        <v>0</v>
      </c>
    </row>
    <row r="31" spans="6:7" ht="15" customHeight="1">
      <c r="F31" s="18" t="s">
        <v>414</v>
      </c>
      <c r="G31" s="30">
        <f>SUM(I11:I30)</f>
        <v>0</v>
      </c>
    </row>
  </sheetData>
  <sheetProtection/>
  <mergeCells count="45">
    <mergeCell ref="C30:D30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2"/>
  <sheetViews>
    <sheetView showOutlineSymbols="0" zoomScalePageLayoutView="0" workbookViewId="0" topLeftCell="A1">
      <pane ySplit="11" topLeftCell="A12" activePane="bottomLeft" state="frozen"/>
      <selection pane="topLeft" activeCell="A232" sqref="A232:M232"/>
      <selection pane="bottomLeft" activeCell="A1" sqref="A1:M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62.33203125" style="0" customWidth="1"/>
    <col min="4" max="4" width="18.660156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64" width="14.16015625" style="0" hidden="1" customWidth="1"/>
  </cols>
  <sheetData>
    <row r="1" spans="1:13" ht="54.75" customHeight="1">
      <c r="A1" s="58" t="s">
        <v>483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 customHeight="1">
      <c r="A2" s="59" t="s">
        <v>34</v>
      </c>
      <c r="B2" s="60"/>
      <c r="C2" s="66" t="s">
        <v>154</v>
      </c>
      <c r="D2" s="60" t="s">
        <v>3</v>
      </c>
      <c r="E2" s="60" t="s">
        <v>492</v>
      </c>
      <c r="F2" s="64" t="s">
        <v>446</v>
      </c>
      <c r="G2" s="64" t="s">
        <v>24</v>
      </c>
      <c r="H2" s="60"/>
      <c r="I2" s="60"/>
      <c r="J2" s="60"/>
      <c r="K2" s="60"/>
      <c r="L2" s="60"/>
      <c r="M2" s="68"/>
    </row>
    <row r="3" spans="1:13" ht="15" customHeight="1">
      <c r="A3" s="61"/>
      <c r="B3" s="62"/>
      <c r="C3" s="67"/>
      <c r="D3" s="62"/>
      <c r="E3" s="62"/>
      <c r="F3" s="62"/>
      <c r="G3" s="62"/>
      <c r="H3" s="62"/>
      <c r="I3" s="62"/>
      <c r="J3" s="62"/>
      <c r="K3" s="62"/>
      <c r="L3" s="62"/>
      <c r="M3" s="69"/>
    </row>
    <row r="4" spans="1:13" ht="15" customHeight="1">
      <c r="A4" s="63" t="s">
        <v>286</v>
      </c>
      <c r="B4" s="62"/>
      <c r="C4" s="65" t="s">
        <v>456</v>
      </c>
      <c r="D4" s="62" t="s">
        <v>476</v>
      </c>
      <c r="E4" s="62" t="s">
        <v>492</v>
      </c>
      <c r="F4" s="65" t="s">
        <v>354</v>
      </c>
      <c r="G4" s="65" t="s">
        <v>84</v>
      </c>
      <c r="H4" s="62"/>
      <c r="I4" s="62"/>
      <c r="J4" s="62"/>
      <c r="K4" s="62"/>
      <c r="L4" s="62"/>
      <c r="M4" s="69"/>
    </row>
    <row r="5" spans="1:13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9"/>
    </row>
    <row r="6" spans="1:13" ht="15" customHeight="1">
      <c r="A6" s="63" t="s">
        <v>45</v>
      </c>
      <c r="B6" s="62"/>
      <c r="C6" s="65" t="s">
        <v>178</v>
      </c>
      <c r="D6" s="62" t="s">
        <v>167</v>
      </c>
      <c r="E6" s="62" t="s">
        <v>492</v>
      </c>
      <c r="F6" s="65" t="s">
        <v>466</v>
      </c>
      <c r="G6" s="62" t="s">
        <v>246</v>
      </c>
      <c r="H6" s="62"/>
      <c r="I6" s="62"/>
      <c r="J6" s="62"/>
      <c r="K6" s="62"/>
      <c r="L6" s="62"/>
      <c r="M6" s="69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9"/>
    </row>
    <row r="8" spans="1:13" ht="15" customHeight="1">
      <c r="A8" s="63" t="s">
        <v>256</v>
      </c>
      <c r="B8" s="62"/>
      <c r="C8" s="65" t="s">
        <v>477</v>
      </c>
      <c r="D8" s="62" t="s">
        <v>295</v>
      </c>
      <c r="E8" s="62" t="s">
        <v>137</v>
      </c>
      <c r="F8" s="65" t="s">
        <v>346</v>
      </c>
      <c r="G8" s="65" t="s">
        <v>115</v>
      </c>
      <c r="H8" s="62"/>
      <c r="I8" s="62"/>
      <c r="J8" s="62"/>
      <c r="K8" s="62"/>
      <c r="L8" s="62"/>
      <c r="M8" s="69"/>
    </row>
    <row r="9" spans="1:13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9"/>
    </row>
    <row r="10" spans="1:64" ht="15" customHeight="1">
      <c r="A10" s="51" t="s">
        <v>38</v>
      </c>
      <c r="B10" s="9" t="s">
        <v>171</v>
      </c>
      <c r="C10" s="70" t="s">
        <v>579</v>
      </c>
      <c r="D10" s="70"/>
      <c r="E10" s="70"/>
      <c r="F10" s="71"/>
      <c r="G10" s="9" t="s">
        <v>183</v>
      </c>
      <c r="H10" s="38" t="s">
        <v>313</v>
      </c>
      <c r="I10" s="21" t="s">
        <v>166</v>
      </c>
      <c r="J10" s="74" t="s">
        <v>330</v>
      </c>
      <c r="K10" s="75"/>
      <c r="L10" s="76"/>
      <c r="M10" s="54" t="s">
        <v>152</v>
      </c>
      <c r="BK10" s="1" t="s">
        <v>207</v>
      </c>
      <c r="BL10" s="23" t="s">
        <v>273</v>
      </c>
    </row>
    <row r="11" spans="1:62" ht="15" customHeight="1">
      <c r="A11" s="50" t="s">
        <v>492</v>
      </c>
      <c r="B11" s="53" t="s">
        <v>492</v>
      </c>
      <c r="C11" s="72" t="s">
        <v>541</v>
      </c>
      <c r="D11" s="72"/>
      <c r="E11" s="72"/>
      <c r="F11" s="73"/>
      <c r="G11" s="53" t="s">
        <v>492</v>
      </c>
      <c r="H11" s="53" t="s">
        <v>492</v>
      </c>
      <c r="I11" s="48" t="s">
        <v>507</v>
      </c>
      <c r="J11" s="35" t="s">
        <v>19</v>
      </c>
      <c r="K11" s="24" t="s">
        <v>109</v>
      </c>
      <c r="L11" s="17" t="s">
        <v>57</v>
      </c>
      <c r="M11" s="17" t="s">
        <v>145</v>
      </c>
      <c r="Z11" s="1" t="s">
        <v>407</v>
      </c>
      <c r="AA11" s="1" t="s">
        <v>319</v>
      </c>
      <c r="AB11" s="1" t="s">
        <v>557</v>
      </c>
      <c r="AC11" s="1" t="s">
        <v>156</v>
      </c>
      <c r="AD11" s="1" t="s">
        <v>452</v>
      </c>
      <c r="AE11" s="1" t="s">
        <v>195</v>
      </c>
      <c r="AF11" s="1" t="s">
        <v>480</v>
      </c>
      <c r="AG11" s="1" t="s">
        <v>225</v>
      </c>
      <c r="AH11" s="1" t="s">
        <v>146</v>
      </c>
      <c r="BH11" s="1" t="s">
        <v>408</v>
      </c>
      <c r="BI11" s="1" t="s">
        <v>549</v>
      </c>
      <c r="BJ11" s="1" t="s">
        <v>587</v>
      </c>
    </row>
    <row r="12" spans="1:47" ht="15" customHeight="1">
      <c r="A12" s="16" t="s">
        <v>356</v>
      </c>
      <c r="B12" s="10" t="s">
        <v>595</v>
      </c>
      <c r="C12" s="77" t="s">
        <v>134</v>
      </c>
      <c r="D12" s="77"/>
      <c r="E12" s="77"/>
      <c r="F12" s="77"/>
      <c r="G12" s="40" t="s">
        <v>492</v>
      </c>
      <c r="H12" s="40" t="s">
        <v>492</v>
      </c>
      <c r="I12" s="40" t="s">
        <v>492</v>
      </c>
      <c r="J12" s="43">
        <f>SUM(J13:J17)</f>
        <v>0</v>
      </c>
      <c r="K12" s="43">
        <f>SUM(K13:K17)</f>
        <v>0</v>
      </c>
      <c r="L12" s="43">
        <f>SUM(L13:L17)</f>
        <v>0</v>
      </c>
      <c r="M12" s="57" t="s">
        <v>356</v>
      </c>
      <c r="AI12" s="1" t="s">
        <v>356</v>
      </c>
      <c r="AS12" s="47">
        <f>SUM(AJ13:AJ17)</f>
        <v>0</v>
      </c>
      <c r="AT12" s="47">
        <f>SUM(AK13:AK17)</f>
        <v>0</v>
      </c>
      <c r="AU12" s="47">
        <f>SUM(AL13:AL17)</f>
        <v>0</v>
      </c>
    </row>
    <row r="13" spans="1:64" ht="15" customHeight="1">
      <c r="A13" s="33" t="s">
        <v>535</v>
      </c>
      <c r="B13" s="6" t="s">
        <v>501</v>
      </c>
      <c r="C13" s="62" t="s">
        <v>570</v>
      </c>
      <c r="D13" s="62"/>
      <c r="E13" s="62"/>
      <c r="F13" s="62"/>
      <c r="G13" s="6" t="s">
        <v>528</v>
      </c>
      <c r="H13" s="26">
        <v>1.86</v>
      </c>
      <c r="I13" s="26">
        <v>0</v>
      </c>
      <c r="J13" s="26">
        <f>H13*AO13</f>
        <v>0</v>
      </c>
      <c r="K13" s="26">
        <f>H13*AP13</f>
        <v>0</v>
      </c>
      <c r="L13" s="26">
        <f>H13*I13</f>
        <v>0</v>
      </c>
      <c r="M13" s="2" t="s">
        <v>197</v>
      </c>
      <c r="Z13" s="26">
        <f>IF(AQ13="5",BJ13,0)</f>
        <v>0</v>
      </c>
      <c r="AB13" s="26">
        <f>IF(AQ13="1",BH13,0)</f>
        <v>0</v>
      </c>
      <c r="AC13" s="26">
        <f>IF(AQ13="1",BI13,0)</f>
        <v>0</v>
      </c>
      <c r="AD13" s="26">
        <f>IF(AQ13="7",BH13,0)</f>
        <v>0</v>
      </c>
      <c r="AE13" s="26">
        <f>IF(AQ13="7",BI13,0)</f>
        <v>0</v>
      </c>
      <c r="AF13" s="26">
        <f>IF(AQ13="2",BH13,0)</f>
        <v>0</v>
      </c>
      <c r="AG13" s="26">
        <f>IF(AQ13="2",BI13,0)</f>
        <v>0</v>
      </c>
      <c r="AH13" s="26">
        <f>IF(AQ13="0",BJ13,0)</f>
        <v>0</v>
      </c>
      <c r="AI13" s="1" t="s">
        <v>356</v>
      </c>
      <c r="AJ13" s="26">
        <f>IF(AN13=0,L13,0)</f>
        <v>0</v>
      </c>
      <c r="AK13" s="26">
        <f>IF(AN13=15,L13,0)</f>
        <v>0</v>
      </c>
      <c r="AL13" s="26">
        <f>IF(AN13=21,L13,0)</f>
        <v>0</v>
      </c>
      <c r="AN13" s="26">
        <v>21</v>
      </c>
      <c r="AO13" s="26">
        <f>I13*0.547598297441949</f>
        <v>0</v>
      </c>
      <c r="AP13" s="26">
        <f>I13*(1-0.547598297441949)</f>
        <v>0</v>
      </c>
      <c r="AQ13" s="28" t="s">
        <v>535</v>
      </c>
      <c r="AV13" s="26">
        <f>AW13+AX13</f>
        <v>0</v>
      </c>
      <c r="AW13" s="26">
        <f>H13*AO13</f>
        <v>0</v>
      </c>
      <c r="AX13" s="26">
        <f>H13*AP13</f>
        <v>0</v>
      </c>
      <c r="AY13" s="28" t="s">
        <v>367</v>
      </c>
      <c r="AZ13" s="28" t="s">
        <v>25</v>
      </c>
      <c r="BA13" s="1" t="s">
        <v>397</v>
      </c>
      <c r="BC13" s="26">
        <f>AW13+AX13</f>
        <v>0</v>
      </c>
      <c r="BD13" s="26">
        <f>I13/(100-BE13)*100</f>
        <v>0</v>
      </c>
      <c r="BE13" s="26">
        <v>0</v>
      </c>
      <c r="BF13" s="26">
        <f>13</f>
        <v>13</v>
      </c>
      <c r="BH13" s="26">
        <f>H13*AO13</f>
        <v>0</v>
      </c>
      <c r="BI13" s="26">
        <f>H13*AP13</f>
        <v>0</v>
      </c>
      <c r="BJ13" s="26">
        <f>H13*I13</f>
        <v>0</v>
      </c>
      <c r="BK13" s="26"/>
      <c r="BL13" s="26">
        <v>34</v>
      </c>
    </row>
    <row r="14" spans="1:13" ht="15" customHeight="1">
      <c r="A14" s="31"/>
      <c r="C14" s="37" t="s">
        <v>558</v>
      </c>
      <c r="F14" s="37" t="s">
        <v>356</v>
      </c>
      <c r="H14" s="20">
        <v>1.86</v>
      </c>
      <c r="M14" s="55"/>
    </row>
    <row r="15" spans="1:64" ht="15" customHeight="1">
      <c r="A15" s="33" t="s">
        <v>353</v>
      </c>
      <c r="B15" s="6" t="s">
        <v>177</v>
      </c>
      <c r="C15" s="62" t="s">
        <v>175</v>
      </c>
      <c r="D15" s="62"/>
      <c r="E15" s="62"/>
      <c r="F15" s="62"/>
      <c r="G15" s="6" t="s">
        <v>528</v>
      </c>
      <c r="H15" s="26">
        <v>0.54</v>
      </c>
      <c r="I15" s="26">
        <v>0</v>
      </c>
      <c r="J15" s="26">
        <f>H15*AO15</f>
        <v>0</v>
      </c>
      <c r="K15" s="26">
        <f>H15*AP15</f>
        <v>0</v>
      </c>
      <c r="L15" s="26">
        <f>H15*I15</f>
        <v>0</v>
      </c>
      <c r="M15" s="2" t="s">
        <v>197</v>
      </c>
      <c r="Z15" s="26">
        <f>IF(AQ15="5",BJ15,0)</f>
        <v>0</v>
      </c>
      <c r="AB15" s="26">
        <f>IF(AQ15="1",BH15,0)</f>
        <v>0</v>
      </c>
      <c r="AC15" s="26">
        <f>IF(AQ15="1",BI15,0)</f>
        <v>0</v>
      </c>
      <c r="AD15" s="26">
        <f>IF(AQ15="7",BH15,0)</f>
        <v>0</v>
      </c>
      <c r="AE15" s="26">
        <f>IF(AQ15="7",BI15,0)</f>
        <v>0</v>
      </c>
      <c r="AF15" s="26">
        <f>IF(AQ15="2",BH15,0)</f>
        <v>0</v>
      </c>
      <c r="AG15" s="26">
        <f>IF(AQ15="2",BI15,0)</f>
        <v>0</v>
      </c>
      <c r="AH15" s="26">
        <f>IF(AQ15="0",BJ15,0)</f>
        <v>0</v>
      </c>
      <c r="AI15" s="1" t="s">
        <v>356</v>
      </c>
      <c r="AJ15" s="26">
        <f>IF(AN15=0,L15,0)</f>
        <v>0</v>
      </c>
      <c r="AK15" s="26">
        <f>IF(AN15=15,L15,0)</f>
        <v>0</v>
      </c>
      <c r="AL15" s="26">
        <f>IF(AN15=21,L15,0)</f>
        <v>0</v>
      </c>
      <c r="AN15" s="26">
        <v>21</v>
      </c>
      <c r="AO15" s="26">
        <f>I15*0.570482649655363</f>
        <v>0</v>
      </c>
      <c r="AP15" s="26">
        <f>I15*(1-0.570482649655363)</f>
        <v>0</v>
      </c>
      <c r="AQ15" s="28" t="s">
        <v>535</v>
      </c>
      <c r="AV15" s="26">
        <f>AW15+AX15</f>
        <v>0</v>
      </c>
      <c r="AW15" s="26">
        <f>H15*AO15</f>
        <v>0</v>
      </c>
      <c r="AX15" s="26">
        <f>H15*AP15</f>
        <v>0</v>
      </c>
      <c r="AY15" s="28" t="s">
        <v>367</v>
      </c>
      <c r="AZ15" s="28" t="s">
        <v>25</v>
      </c>
      <c r="BA15" s="1" t="s">
        <v>397</v>
      </c>
      <c r="BC15" s="26">
        <f>AW15+AX15</f>
        <v>0</v>
      </c>
      <c r="BD15" s="26">
        <f>I15/(100-BE15)*100</f>
        <v>0</v>
      </c>
      <c r="BE15" s="26">
        <v>0</v>
      </c>
      <c r="BF15" s="26">
        <f>15</f>
        <v>15</v>
      </c>
      <c r="BH15" s="26">
        <f>H15*AO15</f>
        <v>0</v>
      </c>
      <c r="BI15" s="26">
        <f>H15*AP15</f>
        <v>0</v>
      </c>
      <c r="BJ15" s="26">
        <f>H15*I15</f>
        <v>0</v>
      </c>
      <c r="BK15" s="26"/>
      <c r="BL15" s="26">
        <v>34</v>
      </c>
    </row>
    <row r="16" spans="1:13" ht="15" customHeight="1">
      <c r="A16" s="31"/>
      <c r="C16" s="37" t="s">
        <v>269</v>
      </c>
      <c r="F16" s="37" t="s">
        <v>356</v>
      </c>
      <c r="H16" s="20">
        <v>0.54</v>
      </c>
      <c r="M16" s="55"/>
    </row>
    <row r="17" spans="1:64" ht="15" customHeight="1">
      <c r="A17" s="33" t="s">
        <v>460</v>
      </c>
      <c r="B17" s="6" t="s">
        <v>181</v>
      </c>
      <c r="C17" s="62" t="s">
        <v>377</v>
      </c>
      <c r="D17" s="62"/>
      <c r="E17" s="62"/>
      <c r="F17" s="62"/>
      <c r="G17" s="6" t="s">
        <v>438</v>
      </c>
      <c r="H17" s="26">
        <v>5.2</v>
      </c>
      <c r="I17" s="26">
        <v>0</v>
      </c>
      <c r="J17" s="26">
        <f>H17*AO17</f>
        <v>0</v>
      </c>
      <c r="K17" s="26">
        <f>H17*AP17</f>
        <v>0</v>
      </c>
      <c r="L17" s="26">
        <f>H17*I17</f>
        <v>0</v>
      </c>
      <c r="M17" s="2" t="s">
        <v>197</v>
      </c>
      <c r="Z17" s="26">
        <f>IF(AQ17="5",BJ17,0)</f>
        <v>0</v>
      </c>
      <c r="AB17" s="26">
        <f>IF(AQ17="1",BH17,0)</f>
        <v>0</v>
      </c>
      <c r="AC17" s="26">
        <f>IF(AQ17="1",BI17,0)</f>
        <v>0</v>
      </c>
      <c r="AD17" s="26">
        <f>IF(AQ17="7",BH17,0)</f>
        <v>0</v>
      </c>
      <c r="AE17" s="26">
        <f>IF(AQ17="7",BI17,0)</f>
        <v>0</v>
      </c>
      <c r="AF17" s="26">
        <f>IF(AQ17="2",BH17,0)</f>
        <v>0</v>
      </c>
      <c r="AG17" s="26">
        <f>IF(AQ17="2",BI17,0)</f>
        <v>0</v>
      </c>
      <c r="AH17" s="26">
        <f>IF(AQ17="0",BJ17,0)</f>
        <v>0</v>
      </c>
      <c r="AI17" s="1" t="s">
        <v>356</v>
      </c>
      <c r="AJ17" s="26">
        <f>IF(AN17=0,L17,0)</f>
        <v>0</v>
      </c>
      <c r="AK17" s="26">
        <f>IF(AN17=15,L17,0)</f>
        <v>0</v>
      </c>
      <c r="AL17" s="26">
        <f>IF(AN17=21,L17,0)</f>
        <v>0</v>
      </c>
      <c r="AN17" s="26">
        <v>21</v>
      </c>
      <c r="AO17" s="26">
        <f>I17*0.222742478416325</f>
        <v>0</v>
      </c>
      <c r="AP17" s="26">
        <f>I17*(1-0.222742478416325)</f>
        <v>0</v>
      </c>
      <c r="AQ17" s="28" t="s">
        <v>535</v>
      </c>
      <c r="AV17" s="26">
        <f>AW17+AX17</f>
        <v>0</v>
      </c>
      <c r="AW17" s="26">
        <f>H17*AO17</f>
        <v>0</v>
      </c>
      <c r="AX17" s="26">
        <f>H17*AP17</f>
        <v>0</v>
      </c>
      <c r="AY17" s="28" t="s">
        <v>367</v>
      </c>
      <c r="AZ17" s="28" t="s">
        <v>25</v>
      </c>
      <c r="BA17" s="1" t="s">
        <v>397</v>
      </c>
      <c r="BC17" s="26">
        <f>AW17+AX17</f>
        <v>0</v>
      </c>
      <c r="BD17" s="26">
        <f>I17/(100-BE17)*100</f>
        <v>0</v>
      </c>
      <c r="BE17" s="26">
        <v>0</v>
      </c>
      <c r="BF17" s="26">
        <f>17</f>
        <v>17</v>
      </c>
      <c r="BH17" s="26">
        <f>H17*AO17</f>
        <v>0</v>
      </c>
      <c r="BI17" s="26">
        <f>H17*AP17</f>
        <v>0</v>
      </c>
      <c r="BJ17" s="26">
        <f>H17*I17</f>
        <v>0</v>
      </c>
      <c r="BK17" s="26"/>
      <c r="BL17" s="26">
        <v>34</v>
      </c>
    </row>
    <row r="18" spans="1:13" ht="15" customHeight="1">
      <c r="A18" s="31"/>
      <c r="C18" s="37" t="s">
        <v>448</v>
      </c>
      <c r="F18" s="37" t="s">
        <v>356</v>
      </c>
      <c r="H18" s="20">
        <v>5.2</v>
      </c>
      <c r="M18" s="55"/>
    </row>
    <row r="19" spans="1:47" ht="15" customHeight="1">
      <c r="A19" s="34" t="s">
        <v>356</v>
      </c>
      <c r="B19" s="52" t="s">
        <v>376</v>
      </c>
      <c r="C19" s="77" t="s">
        <v>372</v>
      </c>
      <c r="D19" s="77"/>
      <c r="E19" s="77"/>
      <c r="F19" s="77"/>
      <c r="G19" s="5" t="s">
        <v>492</v>
      </c>
      <c r="H19" s="5" t="s">
        <v>492</v>
      </c>
      <c r="I19" s="5" t="s">
        <v>492</v>
      </c>
      <c r="J19" s="47">
        <f>SUM(J20:J25)</f>
        <v>0</v>
      </c>
      <c r="K19" s="47">
        <f>SUM(K20:K25)</f>
        <v>0</v>
      </c>
      <c r="L19" s="47">
        <f>SUM(L20:L25)</f>
        <v>0</v>
      </c>
      <c r="M19" s="13" t="s">
        <v>356</v>
      </c>
      <c r="AI19" s="1" t="s">
        <v>356</v>
      </c>
      <c r="AS19" s="47">
        <f>SUM(AJ20:AJ25)</f>
        <v>0</v>
      </c>
      <c r="AT19" s="47">
        <f>SUM(AK20:AK25)</f>
        <v>0</v>
      </c>
      <c r="AU19" s="47">
        <f>SUM(AL20:AL25)</f>
        <v>0</v>
      </c>
    </row>
    <row r="20" spans="1:64" ht="15" customHeight="1">
      <c r="A20" s="33" t="s">
        <v>66</v>
      </c>
      <c r="B20" s="6" t="s">
        <v>550</v>
      </c>
      <c r="C20" s="62" t="s">
        <v>366</v>
      </c>
      <c r="D20" s="62"/>
      <c r="E20" s="62"/>
      <c r="F20" s="62"/>
      <c r="G20" s="6" t="s">
        <v>528</v>
      </c>
      <c r="H20" s="26">
        <v>0.795</v>
      </c>
      <c r="I20" s="26">
        <v>0</v>
      </c>
      <c r="J20" s="26">
        <f>H20*AO20</f>
        <v>0</v>
      </c>
      <c r="K20" s="26">
        <f>H20*AP20</f>
        <v>0</v>
      </c>
      <c r="L20" s="26">
        <f>H20*I20</f>
        <v>0</v>
      </c>
      <c r="M20" s="2" t="s">
        <v>197</v>
      </c>
      <c r="Z20" s="26">
        <f>IF(AQ20="5",BJ20,0)</f>
        <v>0</v>
      </c>
      <c r="AB20" s="26">
        <f>IF(AQ20="1",BH20,0)</f>
        <v>0</v>
      </c>
      <c r="AC20" s="26">
        <f>IF(AQ20="1",BI20,0)</f>
        <v>0</v>
      </c>
      <c r="AD20" s="26">
        <f>IF(AQ20="7",BH20,0)</f>
        <v>0</v>
      </c>
      <c r="AE20" s="26">
        <f>IF(AQ20="7",BI20,0)</f>
        <v>0</v>
      </c>
      <c r="AF20" s="26">
        <f>IF(AQ20="2",BH20,0)</f>
        <v>0</v>
      </c>
      <c r="AG20" s="26">
        <f>IF(AQ20="2",BI20,0)</f>
        <v>0</v>
      </c>
      <c r="AH20" s="26">
        <f>IF(AQ20="0",BJ20,0)</f>
        <v>0</v>
      </c>
      <c r="AI20" s="1" t="s">
        <v>356</v>
      </c>
      <c r="AJ20" s="26">
        <f>IF(AN20=0,L20,0)</f>
        <v>0</v>
      </c>
      <c r="AK20" s="26">
        <f>IF(AN20=15,L20,0)</f>
        <v>0</v>
      </c>
      <c r="AL20" s="26">
        <f>IF(AN20=21,L20,0)</f>
        <v>0</v>
      </c>
      <c r="AN20" s="26">
        <v>21</v>
      </c>
      <c r="AO20" s="26">
        <f>I20*0.105012929044174</f>
        <v>0</v>
      </c>
      <c r="AP20" s="26">
        <f>I20*(1-0.105012929044174)</f>
        <v>0</v>
      </c>
      <c r="AQ20" s="28" t="s">
        <v>535</v>
      </c>
      <c r="AV20" s="26">
        <f>AW20+AX20</f>
        <v>0</v>
      </c>
      <c r="AW20" s="26">
        <f>H20*AO20</f>
        <v>0</v>
      </c>
      <c r="AX20" s="26">
        <f>H20*AP20</f>
        <v>0</v>
      </c>
      <c r="AY20" s="28" t="s">
        <v>323</v>
      </c>
      <c r="AZ20" s="28" t="s">
        <v>80</v>
      </c>
      <c r="BA20" s="1" t="s">
        <v>397</v>
      </c>
      <c r="BC20" s="26">
        <f>AW20+AX20</f>
        <v>0</v>
      </c>
      <c r="BD20" s="26">
        <f>I20/(100-BE20)*100</f>
        <v>0</v>
      </c>
      <c r="BE20" s="26">
        <v>0</v>
      </c>
      <c r="BF20" s="26">
        <f>20</f>
        <v>20</v>
      </c>
      <c r="BH20" s="26">
        <f>H20*AO20</f>
        <v>0</v>
      </c>
      <c r="BI20" s="26">
        <f>H20*AP20</f>
        <v>0</v>
      </c>
      <c r="BJ20" s="26">
        <f>H20*I20</f>
        <v>0</v>
      </c>
      <c r="BK20" s="26"/>
      <c r="BL20" s="26">
        <v>61</v>
      </c>
    </row>
    <row r="21" spans="1:13" ht="15" customHeight="1">
      <c r="A21" s="31"/>
      <c r="C21" s="37" t="s">
        <v>563</v>
      </c>
      <c r="F21" s="37" t="s">
        <v>356</v>
      </c>
      <c r="H21" s="20">
        <v>0.795</v>
      </c>
      <c r="M21" s="55"/>
    </row>
    <row r="22" spans="1:64" ht="15" customHeight="1">
      <c r="A22" s="33" t="s">
        <v>279</v>
      </c>
      <c r="B22" s="6" t="s">
        <v>193</v>
      </c>
      <c r="C22" s="62" t="s">
        <v>347</v>
      </c>
      <c r="D22" s="62"/>
      <c r="E22" s="62"/>
      <c r="F22" s="62"/>
      <c r="G22" s="6" t="s">
        <v>528</v>
      </c>
      <c r="H22" s="26">
        <v>17.571</v>
      </c>
      <c r="I22" s="26">
        <v>0</v>
      </c>
      <c r="J22" s="26">
        <f>H22*AO22</f>
        <v>0</v>
      </c>
      <c r="K22" s="26">
        <f>H22*AP22</f>
        <v>0</v>
      </c>
      <c r="L22" s="26">
        <f>H22*I22</f>
        <v>0</v>
      </c>
      <c r="M22" s="2" t="s">
        <v>197</v>
      </c>
      <c r="Z22" s="26">
        <f>IF(AQ22="5",BJ22,0)</f>
        <v>0</v>
      </c>
      <c r="AB22" s="26">
        <f>IF(AQ22="1",BH22,0)</f>
        <v>0</v>
      </c>
      <c r="AC22" s="26">
        <f>IF(AQ22="1",BI22,0)</f>
        <v>0</v>
      </c>
      <c r="AD22" s="26">
        <f>IF(AQ22="7",BH22,0)</f>
        <v>0</v>
      </c>
      <c r="AE22" s="26">
        <f>IF(AQ22="7",BI22,0)</f>
        <v>0</v>
      </c>
      <c r="AF22" s="26">
        <f>IF(AQ22="2",BH22,0)</f>
        <v>0</v>
      </c>
      <c r="AG22" s="26">
        <f>IF(AQ22="2",BI22,0)</f>
        <v>0</v>
      </c>
      <c r="AH22" s="26">
        <f>IF(AQ22="0",BJ22,0)</f>
        <v>0</v>
      </c>
      <c r="AI22" s="1" t="s">
        <v>356</v>
      </c>
      <c r="AJ22" s="26">
        <f>IF(AN22=0,L22,0)</f>
        <v>0</v>
      </c>
      <c r="AK22" s="26">
        <f>IF(AN22=15,L22,0)</f>
        <v>0</v>
      </c>
      <c r="AL22" s="26">
        <f>IF(AN22=21,L22,0)</f>
        <v>0</v>
      </c>
      <c r="AN22" s="26">
        <v>21</v>
      </c>
      <c r="AO22" s="26">
        <f>I22*0.131153302832582</f>
        <v>0</v>
      </c>
      <c r="AP22" s="26">
        <f>I22*(1-0.131153302832582)</f>
        <v>0</v>
      </c>
      <c r="AQ22" s="28" t="s">
        <v>535</v>
      </c>
      <c r="AV22" s="26">
        <f>AW22+AX22</f>
        <v>0</v>
      </c>
      <c r="AW22" s="26">
        <f>H22*AO22</f>
        <v>0</v>
      </c>
      <c r="AX22" s="26">
        <f>H22*AP22</f>
        <v>0</v>
      </c>
      <c r="AY22" s="28" t="s">
        <v>323</v>
      </c>
      <c r="AZ22" s="28" t="s">
        <v>80</v>
      </c>
      <c r="BA22" s="1" t="s">
        <v>397</v>
      </c>
      <c r="BC22" s="26">
        <f>AW22+AX22</f>
        <v>0</v>
      </c>
      <c r="BD22" s="26">
        <f>I22/(100-BE22)*100</f>
        <v>0</v>
      </c>
      <c r="BE22" s="26">
        <v>0</v>
      </c>
      <c r="BF22" s="26">
        <f>22</f>
        <v>22</v>
      </c>
      <c r="BH22" s="26">
        <f>H22*AO22</f>
        <v>0</v>
      </c>
      <c r="BI22" s="26">
        <f>H22*AP22</f>
        <v>0</v>
      </c>
      <c r="BJ22" s="26">
        <f>H22*I22</f>
        <v>0</v>
      </c>
      <c r="BK22" s="26"/>
      <c r="BL22" s="26">
        <v>61</v>
      </c>
    </row>
    <row r="23" spans="1:13" ht="15" customHeight="1">
      <c r="A23" s="31"/>
      <c r="C23" s="37" t="s">
        <v>472</v>
      </c>
      <c r="F23" s="37" t="s">
        <v>356</v>
      </c>
      <c r="H23" s="20">
        <v>12.174000000000001</v>
      </c>
      <c r="M23" s="55"/>
    </row>
    <row r="24" spans="1:13" ht="15" customHeight="1">
      <c r="A24" s="31"/>
      <c r="C24" s="37" t="s">
        <v>162</v>
      </c>
      <c r="F24" s="37" t="s">
        <v>356</v>
      </c>
      <c r="H24" s="20">
        <v>5.397</v>
      </c>
      <c r="M24" s="55"/>
    </row>
    <row r="25" spans="1:64" ht="15" customHeight="1">
      <c r="A25" s="33" t="s">
        <v>91</v>
      </c>
      <c r="B25" s="6" t="s">
        <v>74</v>
      </c>
      <c r="C25" s="62" t="s">
        <v>39</v>
      </c>
      <c r="D25" s="62"/>
      <c r="E25" s="62"/>
      <c r="F25" s="62"/>
      <c r="G25" s="6" t="s">
        <v>528</v>
      </c>
      <c r="H25" s="26">
        <v>8.343</v>
      </c>
      <c r="I25" s="26">
        <v>0</v>
      </c>
      <c r="J25" s="26">
        <f>H25*AO25</f>
        <v>0</v>
      </c>
      <c r="K25" s="26">
        <f>H25*AP25</f>
        <v>0</v>
      </c>
      <c r="L25" s="26">
        <f>H25*I25</f>
        <v>0</v>
      </c>
      <c r="M25" s="2" t="s">
        <v>197</v>
      </c>
      <c r="Z25" s="26">
        <f>IF(AQ25="5",BJ25,0)</f>
        <v>0</v>
      </c>
      <c r="AB25" s="26">
        <f>IF(AQ25="1",BH25,0)</f>
        <v>0</v>
      </c>
      <c r="AC25" s="26">
        <f>IF(AQ25="1",BI25,0)</f>
        <v>0</v>
      </c>
      <c r="AD25" s="26">
        <f>IF(AQ25="7",BH25,0)</f>
        <v>0</v>
      </c>
      <c r="AE25" s="26">
        <f>IF(AQ25="7",BI25,0)</f>
        <v>0</v>
      </c>
      <c r="AF25" s="26">
        <f>IF(AQ25="2",BH25,0)</f>
        <v>0</v>
      </c>
      <c r="AG25" s="26">
        <f>IF(AQ25="2",BI25,0)</f>
        <v>0</v>
      </c>
      <c r="AH25" s="26">
        <f>IF(AQ25="0",BJ25,0)</f>
        <v>0</v>
      </c>
      <c r="AI25" s="1" t="s">
        <v>356</v>
      </c>
      <c r="AJ25" s="26">
        <f>IF(AN25=0,L25,0)</f>
        <v>0</v>
      </c>
      <c r="AK25" s="26">
        <f>IF(AN25=15,L25,0)</f>
        <v>0</v>
      </c>
      <c r="AL25" s="26">
        <f>IF(AN25=21,L25,0)</f>
        <v>0</v>
      </c>
      <c r="AN25" s="26">
        <v>21</v>
      </c>
      <c r="AO25" s="26">
        <f>I25*0.0573978492884864</f>
        <v>0</v>
      </c>
      <c r="AP25" s="26">
        <f>I25*(1-0.0573978492884864)</f>
        <v>0</v>
      </c>
      <c r="AQ25" s="28" t="s">
        <v>535</v>
      </c>
      <c r="AV25" s="26">
        <f>AW25+AX25</f>
        <v>0</v>
      </c>
      <c r="AW25" s="26">
        <f>H25*AO25</f>
        <v>0</v>
      </c>
      <c r="AX25" s="26">
        <f>H25*AP25</f>
        <v>0</v>
      </c>
      <c r="AY25" s="28" t="s">
        <v>323</v>
      </c>
      <c r="AZ25" s="28" t="s">
        <v>80</v>
      </c>
      <c r="BA25" s="1" t="s">
        <v>397</v>
      </c>
      <c r="BC25" s="26">
        <f>AW25+AX25</f>
        <v>0</v>
      </c>
      <c r="BD25" s="26">
        <f>I25/(100-BE25)*100</f>
        <v>0</v>
      </c>
      <c r="BE25" s="26">
        <v>0</v>
      </c>
      <c r="BF25" s="26">
        <f>25</f>
        <v>25</v>
      </c>
      <c r="BH25" s="26">
        <f>H25*AO25</f>
        <v>0</v>
      </c>
      <c r="BI25" s="26">
        <f>H25*AP25</f>
        <v>0</v>
      </c>
      <c r="BJ25" s="26">
        <f>H25*I25</f>
        <v>0</v>
      </c>
      <c r="BK25" s="26"/>
      <c r="BL25" s="26">
        <v>61</v>
      </c>
    </row>
    <row r="26" spans="1:13" ht="15" customHeight="1">
      <c r="A26" s="31"/>
      <c r="C26" s="37" t="s">
        <v>199</v>
      </c>
      <c r="F26" s="37" t="s">
        <v>356</v>
      </c>
      <c r="H26" s="20">
        <v>4.007000000000001</v>
      </c>
      <c r="M26" s="55"/>
    </row>
    <row r="27" spans="1:13" ht="15" customHeight="1">
      <c r="A27" s="31"/>
      <c r="C27" s="37" t="s">
        <v>107</v>
      </c>
      <c r="F27" s="37" t="s">
        <v>356</v>
      </c>
      <c r="H27" s="20">
        <v>4.336</v>
      </c>
      <c r="M27" s="55"/>
    </row>
    <row r="28" spans="1:47" ht="15" customHeight="1">
      <c r="A28" s="34" t="s">
        <v>356</v>
      </c>
      <c r="B28" s="52" t="s">
        <v>130</v>
      </c>
      <c r="C28" s="77" t="s">
        <v>548</v>
      </c>
      <c r="D28" s="77"/>
      <c r="E28" s="77"/>
      <c r="F28" s="77"/>
      <c r="G28" s="5" t="s">
        <v>492</v>
      </c>
      <c r="H28" s="5" t="s">
        <v>492</v>
      </c>
      <c r="I28" s="5" t="s">
        <v>492</v>
      </c>
      <c r="J28" s="47">
        <f>SUM(J29:J33)</f>
        <v>0</v>
      </c>
      <c r="K28" s="47">
        <f>SUM(K29:K33)</f>
        <v>0</v>
      </c>
      <c r="L28" s="47">
        <f>SUM(L29:L33)</f>
        <v>0</v>
      </c>
      <c r="M28" s="13" t="s">
        <v>356</v>
      </c>
      <c r="AI28" s="1" t="s">
        <v>356</v>
      </c>
      <c r="AS28" s="47">
        <f>SUM(AJ29:AJ33)</f>
        <v>0</v>
      </c>
      <c r="AT28" s="47">
        <f>SUM(AK29:AK33)</f>
        <v>0</v>
      </c>
      <c r="AU28" s="47">
        <f>SUM(AL29:AL33)</f>
        <v>0</v>
      </c>
    </row>
    <row r="29" spans="1:64" ht="15" customHeight="1">
      <c r="A29" s="33" t="s">
        <v>539</v>
      </c>
      <c r="B29" s="6" t="s">
        <v>518</v>
      </c>
      <c r="C29" s="62" t="s">
        <v>520</v>
      </c>
      <c r="D29" s="62"/>
      <c r="E29" s="62"/>
      <c r="F29" s="62"/>
      <c r="G29" s="6" t="s">
        <v>528</v>
      </c>
      <c r="H29" s="26">
        <v>18.366</v>
      </c>
      <c r="I29" s="26">
        <v>0</v>
      </c>
      <c r="J29" s="26">
        <f>H29*AO29</f>
        <v>0</v>
      </c>
      <c r="K29" s="26">
        <f>H29*AP29</f>
        <v>0</v>
      </c>
      <c r="L29" s="26">
        <f>H29*I29</f>
        <v>0</v>
      </c>
      <c r="M29" s="2" t="s">
        <v>197</v>
      </c>
      <c r="Z29" s="26">
        <f>IF(AQ29="5",BJ29,0)</f>
        <v>0</v>
      </c>
      <c r="AB29" s="26">
        <f>IF(AQ29="1",BH29,0)</f>
        <v>0</v>
      </c>
      <c r="AC29" s="26">
        <f>IF(AQ29="1",BI29,0)</f>
        <v>0</v>
      </c>
      <c r="AD29" s="26">
        <f>IF(AQ29="7",BH29,0)</f>
        <v>0</v>
      </c>
      <c r="AE29" s="26">
        <f>IF(AQ29="7",BI29,0)</f>
        <v>0</v>
      </c>
      <c r="AF29" s="26">
        <f>IF(AQ29="2",BH29,0)</f>
        <v>0</v>
      </c>
      <c r="AG29" s="26">
        <f>IF(AQ29="2",BI29,0)</f>
        <v>0</v>
      </c>
      <c r="AH29" s="26">
        <f>IF(AQ29="0",BJ29,0)</f>
        <v>0</v>
      </c>
      <c r="AI29" s="1" t="s">
        <v>356</v>
      </c>
      <c r="AJ29" s="26">
        <f>IF(AN29=0,L29,0)</f>
        <v>0</v>
      </c>
      <c r="AK29" s="26">
        <f>IF(AN29=15,L29,0)</f>
        <v>0</v>
      </c>
      <c r="AL29" s="26">
        <f>IF(AN29=21,L29,0)</f>
        <v>0</v>
      </c>
      <c r="AN29" s="26">
        <v>21</v>
      </c>
      <c r="AO29" s="26">
        <f>I29*0.512059554997096</f>
        <v>0</v>
      </c>
      <c r="AP29" s="26">
        <f>I29*(1-0.512059554997096)</f>
        <v>0</v>
      </c>
      <c r="AQ29" s="28" t="s">
        <v>535</v>
      </c>
      <c r="AV29" s="26">
        <f>AW29+AX29</f>
        <v>0</v>
      </c>
      <c r="AW29" s="26">
        <f>H29*AO29</f>
        <v>0</v>
      </c>
      <c r="AX29" s="26">
        <f>H29*AP29</f>
        <v>0</v>
      </c>
      <c r="AY29" s="28" t="s">
        <v>487</v>
      </c>
      <c r="AZ29" s="28" t="s">
        <v>80</v>
      </c>
      <c r="BA29" s="1" t="s">
        <v>397</v>
      </c>
      <c r="BC29" s="26">
        <f>AW29+AX29</f>
        <v>0</v>
      </c>
      <c r="BD29" s="26">
        <f>I29/(100-BE29)*100</f>
        <v>0</v>
      </c>
      <c r="BE29" s="26">
        <v>0</v>
      </c>
      <c r="BF29" s="26">
        <f>29</f>
        <v>29</v>
      </c>
      <c r="BH29" s="26">
        <f>H29*AO29</f>
        <v>0</v>
      </c>
      <c r="BI29" s="26">
        <f>H29*AP29</f>
        <v>0</v>
      </c>
      <c r="BJ29" s="26">
        <f>H29*I29</f>
        <v>0</v>
      </c>
      <c r="BK29" s="26"/>
      <c r="BL29" s="26">
        <v>63</v>
      </c>
    </row>
    <row r="30" spans="1:13" ht="15" customHeight="1">
      <c r="A30" s="31"/>
      <c r="C30" s="37" t="s">
        <v>563</v>
      </c>
      <c r="F30" s="37" t="s">
        <v>356</v>
      </c>
      <c r="H30" s="20">
        <v>0.795</v>
      </c>
      <c r="M30" s="55"/>
    </row>
    <row r="31" spans="1:13" ht="15" customHeight="1">
      <c r="A31" s="31"/>
      <c r="C31" s="37" t="s">
        <v>472</v>
      </c>
      <c r="F31" s="37" t="s">
        <v>356</v>
      </c>
      <c r="H31" s="20">
        <v>12.174000000000001</v>
      </c>
      <c r="M31" s="55"/>
    </row>
    <row r="32" spans="1:13" ht="15" customHeight="1">
      <c r="A32" s="31"/>
      <c r="C32" s="37" t="s">
        <v>162</v>
      </c>
      <c r="F32" s="37" t="s">
        <v>356</v>
      </c>
      <c r="H32" s="20">
        <v>5.397</v>
      </c>
      <c r="M32" s="55"/>
    </row>
    <row r="33" spans="1:64" ht="15" customHeight="1">
      <c r="A33" s="33" t="s">
        <v>412</v>
      </c>
      <c r="B33" s="6" t="s">
        <v>252</v>
      </c>
      <c r="C33" s="62" t="s">
        <v>56</v>
      </c>
      <c r="D33" s="62"/>
      <c r="E33" s="62"/>
      <c r="F33" s="62"/>
      <c r="G33" s="6" t="s">
        <v>528</v>
      </c>
      <c r="H33" s="26">
        <v>4.46</v>
      </c>
      <c r="I33" s="26">
        <v>0</v>
      </c>
      <c r="J33" s="26">
        <f>H33*AO33</f>
        <v>0</v>
      </c>
      <c r="K33" s="26">
        <f>H33*AP33</f>
        <v>0</v>
      </c>
      <c r="L33" s="26">
        <f>H33*I33</f>
        <v>0</v>
      </c>
      <c r="M33" s="2" t="s">
        <v>197</v>
      </c>
      <c r="Z33" s="26">
        <f>IF(AQ33="5",BJ33,0)</f>
        <v>0</v>
      </c>
      <c r="AB33" s="26">
        <f>IF(AQ33="1",BH33,0)</f>
        <v>0</v>
      </c>
      <c r="AC33" s="26">
        <f>IF(AQ33="1",BI33,0)</f>
        <v>0</v>
      </c>
      <c r="AD33" s="26">
        <f>IF(AQ33="7",BH33,0)</f>
        <v>0</v>
      </c>
      <c r="AE33" s="26">
        <f>IF(AQ33="7",BI33,0)</f>
        <v>0</v>
      </c>
      <c r="AF33" s="26">
        <f>IF(AQ33="2",BH33,0)</f>
        <v>0</v>
      </c>
      <c r="AG33" s="26">
        <f>IF(AQ33="2",BI33,0)</f>
        <v>0</v>
      </c>
      <c r="AH33" s="26">
        <f>IF(AQ33="0",BJ33,0)</f>
        <v>0</v>
      </c>
      <c r="AI33" s="1" t="s">
        <v>356</v>
      </c>
      <c r="AJ33" s="26">
        <f>IF(AN33=0,L33,0)</f>
        <v>0</v>
      </c>
      <c r="AK33" s="26">
        <f>IF(AN33=15,L33,0)</f>
        <v>0</v>
      </c>
      <c r="AL33" s="26">
        <f>IF(AN33=21,L33,0)</f>
        <v>0</v>
      </c>
      <c r="AN33" s="26">
        <v>21</v>
      </c>
      <c r="AO33" s="26">
        <f>I33*0.507340414239163</f>
        <v>0</v>
      </c>
      <c r="AP33" s="26">
        <f>I33*(1-0.507340414239163)</f>
        <v>0</v>
      </c>
      <c r="AQ33" s="28" t="s">
        <v>535</v>
      </c>
      <c r="AV33" s="26">
        <f>AW33+AX33</f>
        <v>0</v>
      </c>
      <c r="AW33" s="26">
        <f>H33*AO33</f>
        <v>0</v>
      </c>
      <c r="AX33" s="26">
        <f>H33*AP33</f>
        <v>0</v>
      </c>
      <c r="AY33" s="28" t="s">
        <v>487</v>
      </c>
      <c r="AZ33" s="28" t="s">
        <v>80</v>
      </c>
      <c r="BA33" s="1" t="s">
        <v>397</v>
      </c>
      <c r="BC33" s="26">
        <f>AW33+AX33</f>
        <v>0</v>
      </c>
      <c r="BD33" s="26">
        <f>I33/(100-BE33)*100</f>
        <v>0</v>
      </c>
      <c r="BE33" s="26">
        <v>0</v>
      </c>
      <c r="BF33" s="26">
        <f>33</f>
        <v>33</v>
      </c>
      <c r="BH33" s="26">
        <f>H33*AO33</f>
        <v>0</v>
      </c>
      <c r="BI33" s="26">
        <f>H33*AP33</f>
        <v>0</v>
      </c>
      <c r="BJ33" s="26">
        <f>H33*I33</f>
        <v>0</v>
      </c>
      <c r="BK33" s="26"/>
      <c r="BL33" s="26">
        <v>63</v>
      </c>
    </row>
    <row r="34" spans="1:13" ht="15" customHeight="1">
      <c r="A34" s="31"/>
      <c r="C34" s="37" t="s">
        <v>583</v>
      </c>
      <c r="F34" s="37" t="s">
        <v>356</v>
      </c>
      <c r="H34" s="20">
        <v>4.46</v>
      </c>
      <c r="M34" s="55"/>
    </row>
    <row r="35" spans="1:47" ht="15" customHeight="1">
      <c r="A35" s="34" t="s">
        <v>356</v>
      </c>
      <c r="B35" s="52" t="s">
        <v>28</v>
      </c>
      <c r="C35" s="77" t="s">
        <v>598</v>
      </c>
      <c r="D35" s="77"/>
      <c r="E35" s="77"/>
      <c r="F35" s="77"/>
      <c r="G35" s="5" t="s">
        <v>492</v>
      </c>
      <c r="H35" s="5" t="s">
        <v>492</v>
      </c>
      <c r="I35" s="5" t="s">
        <v>492</v>
      </c>
      <c r="J35" s="47">
        <f>SUM(J36:J45)</f>
        <v>0</v>
      </c>
      <c r="K35" s="47">
        <f>SUM(K36:K45)</f>
        <v>0</v>
      </c>
      <c r="L35" s="47">
        <f>SUM(L36:L45)</f>
        <v>0</v>
      </c>
      <c r="M35" s="13" t="s">
        <v>356</v>
      </c>
      <c r="AI35" s="1" t="s">
        <v>356</v>
      </c>
      <c r="AS35" s="47">
        <f>SUM(AJ36:AJ45)</f>
        <v>0</v>
      </c>
      <c r="AT35" s="47">
        <f>SUM(AK36:AK45)</f>
        <v>0</v>
      </c>
      <c r="AU35" s="47">
        <f>SUM(AL36:AL45)</f>
        <v>0</v>
      </c>
    </row>
    <row r="36" spans="1:64" ht="15" customHeight="1">
      <c r="A36" s="33" t="s">
        <v>198</v>
      </c>
      <c r="B36" s="6" t="s">
        <v>574</v>
      </c>
      <c r="C36" s="62" t="s">
        <v>352</v>
      </c>
      <c r="D36" s="62"/>
      <c r="E36" s="62"/>
      <c r="F36" s="62"/>
      <c r="G36" s="6" t="s">
        <v>528</v>
      </c>
      <c r="H36" s="26">
        <v>22.031</v>
      </c>
      <c r="I36" s="26">
        <v>0</v>
      </c>
      <c r="J36" s="26">
        <f>H36*AO36</f>
        <v>0</v>
      </c>
      <c r="K36" s="26">
        <f>H36*AP36</f>
        <v>0</v>
      </c>
      <c r="L36" s="26">
        <f>H36*I36</f>
        <v>0</v>
      </c>
      <c r="M36" s="2" t="s">
        <v>197</v>
      </c>
      <c r="Z36" s="26">
        <f>IF(AQ36="5",BJ36,0)</f>
        <v>0</v>
      </c>
      <c r="AB36" s="26">
        <f>IF(AQ36="1",BH36,0)</f>
        <v>0</v>
      </c>
      <c r="AC36" s="26">
        <f>IF(AQ36="1",BI36,0)</f>
        <v>0</v>
      </c>
      <c r="AD36" s="26">
        <f>IF(AQ36="7",BH36,0)</f>
        <v>0</v>
      </c>
      <c r="AE36" s="26">
        <f>IF(AQ36="7",BI36,0)</f>
        <v>0</v>
      </c>
      <c r="AF36" s="26">
        <f>IF(AQ36="2",BH36,0)</f>
        <v>0</v>
      </c>
      <c r="AG36" s="26">
        <f>IF(AQ36="2",BI36,0)</f>
        <v>0</v>
      </c>
      <c r="AH36" s="26">
        <f>IF(AQ36="0",BJ36,0)</f>
        <v>0</v>
      </c>
      <c r="AI36" s="1" t="s">
        <v>356</v>
      </c>
      <c r="AJ36" s="26">
        <f>IF(AN36=0,L36,0)</f>
        <v>0</v>
      </c>
      <c r="AK36" s="26">
        <f>IF(AN36=15,L36,0)</f>
        <v>0</v>
      </c>
      <c r="AL36" s="26">
        <f>IF(AN36=21,L36,0)</f>
        <v>0</v>
      </c>
      <c r="AN36" s="26">
        <v>21</v>
      </c>
      <c r="AO36" s="26">
        <f>I36*0.615040861067705</f>
        <v>0</v>
      </c>
      <c r="AP36" s="26">
        <f>I36*(1-0.615040861067705)</f>
        <v>0</v>
      </c>
      <c r="AQ36" s="28" t="s">
        <v>539</v>
      </c>
      <c r="AV36" s="26">
        <f>AW36+AX36</f>
        <v>0</v>
      </c>
      <c r="AW36" s="26">
        <f>H36*AO36</f>
        <v>0</v>
      </c>
      <c r="AX36" s="26">
        <f>H36*AP36</f>
        <v>0</v>
      </c>
      <c r="AY36" s="28" t="s">
        <v>462</v>
      </c>
      <c r="AZ36" s="28" t="s">
        <v>428</v>
      </c>
      <c r="BA36" s="1" t="s">
        <v>397</v>
      </c>
      <c r="BC36" s="26">
        <f>AW36+AX36</f>
        <v>0</v>
      </c>
      <c r="BD36" s="26">
        <f>I36/(100-BE36)*100</f>
        <v>0</v>
      </c>
      <c r="BE36" s="26">
        <v>0</v>
      </c>
      <c r="BF36" s="26">
        <f>36</f>
        <v>36</v>
      </c>
      <c r="BH36" s="26">
        <f>H36*AO36</f>
        <v>0</v>
      </c>
      <c r="BI36" s="26">
        <f>H36*AP36</f>
        <v>0</v>
      </c>
      <c r="BJ36" s="26">
        <f>H36*I36</f>
        <v>0</v>
      </c>
      <c r="BK36" s="26"/>
      <c r="BL36" s="26">
        <v>711</v>
      </c>
    </row>
    <row r="37" spans="1:13" ht="15" customHeight="1">
      <c r="A37" s="31"/>
      <c r="C37" s="37" t="s">
        <v>583</v>
      </c>
      <c r="F37" s="37" t="s">
        <v>356</v>
      </c>
      <c r="H37" s="20">
        <v>4.46</v>
      </c>
      <c r="M37" s="55"/>
    </row>
    <row r="38" spans="1:13" ht="15" customHeight="1">
      <c r="A38" s="31"/>
      <c r="C38" s="37" t="s">
        <v>472</v>
      </c>
      <c r="F38" s="37" t="s">
        <v>356</v>
      </c>
      <c r="H38" s="20">
        <v>12.174000000000001</v>
      </c>
      <c r="M38" s="55"/>
    </row>
    <row r="39" spans="1:13" ht="15" customHeight="1">
      <c r="A39" s="31"/>
      <c r="C39" s="37" t="s">
        <v>162</v>
      </c>
      <c r="F39" s="37" t="s">
        <v>356</v>
      </c>
      <c r="H39" s="20">
        <v>5.397</v>
      </c>
      <c r="M39" s="55"/>
    </row>
    <row r="40" spans="1:64" ht="15" customHeight="1">
      <c r="A40" s="33" t="s">
        <v>303</v>
      </c>
      <c r="B40" s="6" t="s">
        <v>222</v>
      </c>
      <c r="C40" s="62" t="s">
        <v>296</v>
      </c>
      <c r="D40" s="62"/>
      <c r="E40" s="62"/>
      <c r="F40" s="62"/>
      <c r="G40" s="6" t="s">
        <v>141</v>
      </c>
      <c r="H40" s="26">
        <v>10.876</v>
      </c>
      <c r="I40" s="26">
        <v>0</v>
      </c>
      <c r="J40" s="26">
        <f>H40*AO40</f>
        <v>0</v>
      </c>
      <c r="K40" s="26">
        <f>H40*AP40</f>
        <v>0</v>
      </c>
      <c r="L40" s="26">
        <f>H40*I40</f>
        <v>0</v>
      </c>
      <c r="M40" s="2" t="s">
        <v>197</v>
      </c>
      <c r="Z40" s="26">
        <f>IF(AQ40="5",BJ40,0)</f>
        <v>0</v>
      </c>
      <c r="AB40" s="26">
        <f>IF(AQ40="1",BH40,0)</f>
        <v>0</v>
      </c>
      <c r="AC40" s="26">
        <f>IF(AQ40="1",BI40,0)</f>
        <v>0</v>
      </c>
      <c r="AD40" s="26">
        <f>IF(AQ40="7",BH40,0)</f>
        <v>0</v>
      </c>
      <c r="AE40" s="26">
        <f>IF(AQ40="7",BI40,0)</f>
        <v>0</v>
      </c>
      <c r="AF40" s="26">
        <f>IF(AQ40="2",BH40,0)</f>
        <v>0</v>
      </c>
      <c r="AG40" s="26">
        <f>IF(AQ40="2",BI40,0)</f>
        <v>0</v>
      </c>
      <c r="AH40" s="26">
        <f>IF(AQ40="0",BJ40,0)</f>
        <v>0</v>
      </c>
      <c r="AI40" s="1" t="s">
        <v>356</v>
      </c>
      <c r="AJ40" s="26">
        <f>IF(AN40=0,L40,0)</f>
        <v>0</v>
      </c>
      <c r="AK40" s="26">
        <f>IF(AN40=15,L40,0)</f>
        <v>0</v>
      </c>
      <c r="AL40" s="26">
        <f>IF(AN40=21,L40,0)</f>
        <v>0</v>
      </c>
      <c r="AN40" s="26">
        <v>21</v>
      </c>
      <c r="AO40" s="26">
        <f>I40*0.815491587499942</f>
        <v>0</v>
      </c>
      <c r="AP40" s="26">
        <f>I40*(1-0.815491587499942)</f>
        <v>0</v>
      </c>
      <c r="AQ40" s="28" t="s">
        <v>539</v>
      </c>
      <c r="AV40" s="26">
        <f>AW40+AX40</f>
        <v>0</v>
      </c>
      <c r="AW40" s="26">
        <f>H40*AO40</f>
        <v>0</v>
      </c>
      <c r="AX40" s="26">
        <f>H40*AP40</f>
        <v>0</v>
      </c>
      <c r="AY40" s="28" t="s">
        <v>462</v>
      </c>
      <c r="AZ40" s="28" t="s">
        <v>428</v>
      </c>
      <c r="BA40" s="1" t="s">
        <v>397</v>
      </c>
      <c r="BC40" s="26">
        <f>AW40+AX40</f>
        <v>0</v>
      </c>
      <c r="BD40" s="26">
        <f>I40/(100-BE40)*100</f>
        <v>0</v>
      </c>
      <c r="BE40" s="26">
        <v>0</v>
      </c>
      <c r="BF40" s="26">
        <f>40</f>
        <v>40</v>
      </c>
      <c r="BH40" s="26">
        <f>H40*AO40</f>
        <v>0</v>
      </c>
      <c r="BI40" s="26">
        <f>H40*AP40</f>
        <v>0</v>
      </c>
      <c r="BJ40" s="26">
        <f>H40*I40</f>
        <v>0</v>
      </c>
      <c r="BK40" s="26"/>
      <c r="BL40" s="26">
        <v>711</v>
      </c>
    </row>
    <row r="41" spans="1:13" ht="15" customHeight="1">
      <c r="A41" s="31"/>
      <c r="C41" s="37" t="s">
        <v>265</v>
      </c>
      <c r="F41" s="37" t="s">
        <v>356</v>
      </c>
      <c r="H41" s="20">
        <v>6.678000000000001</v>
      </c>
      <c r="M41" s="55"/>
    </row>
    <row r="42" spans="1:13" ht="15" customHeight="1">
      <c r="A42" s="31"/>
      <c r="C42" s="37" t="s">
        <v>191</v>
      </c>
      <c r="F42" s="37" t="s">
        <v>356</v>
      </c>
      <c r="H42" s="20">
        <v>4.198</v>
      </c>
      <c r="M42" s="55"/>
    </row>
    <row r="43" spans="1:64" ht="15" customHeight="1">
      <c r="A43" s="33" t="s">
        <v>441</v>
      </c>
      <c r="B43" s="6" t="s">
        <v>226</v>
      </c>
      <c r="C43" s="62" t="s">
        <v>486</v>
      </c>
      <c r="D43" s="62"/>
      <c r="E43" s="62"/>
      <c r="F43" s="62"/>
      <c r="G43" s="6" t="s">
        <v>438</v>
      </c>
      <c r="H43" s="26">
        <v>14</v>
      </c>
      <c r="I43" s="26">
        <v>0</v>
      </c>
      <c r="J43" s="26">
        <f>H43*AO43</f>
        <v>0</v>
      </c>
      <c r="K43" s="26">
        <f>H43*AP43</f>
        <v>0</v>
      </c>
      <c r="L43" s="26">
        <f>H43*I43</f>
        <v>0</v>
      </c>
      <c r="M43" s="2" t="s">
        <v>197</v>
      </c>
      <c r="Z43" s="26">
        <f>IF(AQ43="5",BJ43,0)</f>
        <v>0</v>
      </c>
      <c r="AB43" s="26">
        <f>IF(AQ43="1",BH43,0)</f>
        <v>0</v>
      </c>
      <c r="AC43" s="26">
        <f>IF(AQ43="1",BI43,0)</f>
        <v>0</v>
      </c>
      <c r="AD43" s="26">
        <f>IF(AQ43="7",BH43,0)</f>
        <v>0</v>
      </c>
      <c r="AE43" s="26">
        <f>IF(AQ43="7",BI43,0)</f>
        <v>0</v>
      </c>
      <c r="AF43" s="26">
        <f>IF(AQ43="2",BH43,0)</f>
        <v>0</v>
      </c>
      <c r="AG43" s="26">
        <f>IF(AQ43="2",BI43,0)</f>
        <v>0</v>
      </c>
      <c r="AH43" s="26">
        <f>IF(AQ43="0",BJ43,0)</f>
        <v>0</v>
      </c>
      <c r="AI43" s="1" t="s">
        <v>356</v>
      </c>
      <c r="AJ43" s="26">
        <f>IF(AN43=0,L43,0)</f>
        <v>0</v>
      </c>
      <c r="AK43" s="26">
        <f>IF(AN43=15,L43,0)</f>
        <v>0</v>
      </c>
      <c r="AL43" s="26">
        <f>IF(AN43=21,L43,0)</f>
        <v>0</v>
      </c>
      <c r="AN43" s="26">
        <v>21</v>
      </c>
      <c r="AO43" s="26">
        <f>I43*0.552957799547852</f>
        <v>0</v>
      </c>
      <c r="AP43" s="26">
        <f>I43*(1-0.552957799547852)</f>
        <v>0</v>
      </c>
      <c r="AQ43" s="28" t="s">
        <v>539</v>
      </c>
      <c r="AV43" s="26">
        <f>AW43+AX43</f>
        <v>0</v>
      </c>
      <c r="AW43" s="26">
        <f>H43*AO43</f>
        <v>0</v>
      </c>
      <c r="AX43" s="26">
        <f>H43*AP43</f>
        <v>0</v>
      </c>
      <c r="AY43" s="28" t="s">
        <v>462</v>
      </c>
      <c r="AZ43" s="28" t="s">
        <v>428</v>
      </c>
      <c r="BA43" s="1" t="s">
        <v>397</v>
      </c>
      <c r="BC43" s="26">
        <f>AW43+AX43</f>
        <v>0</v>
      </c>
      <c r="BD43" s="26">
        <f>I43/(100-BE43)*100</f>
        <v>0</v>
      </c>
      <c r="BE43" s="26">
        <v>0</v>
      </c>
      <c r="BF43" s="26">
        <f>43</f>
        <v>43</v>
      </c>
      <c r="BH43" s="26">
        <f>H43*AO43</f>
        <v>0</v>
      </c>
      <c r="BI43" s="26">
        <f>H43*AP43</f>
        <v>0</v>
      </c>
      <c r="BJ43" s="26">
        <f>H43*I43</f>
        <v>0</v>
      </c>
      <c r="BK43" s="26"/>
      <c r="BL43" s="26">
        <v>711</v>
      </c>
    </row>
    <row r="44" spans="1:13" ht="15" customHeight="1">
      <c r="A44" s="31"/>
      <c r="C44" s="37" t="s">
        <v>340</v>
      </c>
      <c r="F44" s="37" t="s">
        <v>356</v>
      </c>
      <c r="H44" s="20">
        <v>14.000000000000002</v>
      </c>
      <c r="M44" s="55"/>
    </row>
    <row r="45" spans="1:64" ht="15" customHeight="1">
      <c r="A45" s="33" t="s">
        <v>382</v>
      </c>
      <c r="B45" s="6" t="s">
        <v>459</v>
      </c>
      <c r="C45" s="62" t="s">
        <v>380</v>
      </c>
      <c r="D45" s="62"/>
      <c r="E45" s="62"/>
      <c r="F45" s="62"/>
      <c r="G45" s="6" t="s">
        <v>468</v>
      </c>
      <c r="H45" s="26">
        <v>4.15</v>
      </c>
      <c r="I45" s="26">
        <v>0</v>
      </c>
      <c r="J45" s="26">
        <f>H45*AO45</f>
        <v>0</v>
      </c>
      <c r="K45" s="26">
        <f>H45*AP45</f>
        <v>0</v>
      </c>
      <c r="L45" s="26">
        <f>H45*I45</f>
        <v>0</v>
      </c>
      <c r="M45" s="2" t="s">
        <v>197</v>
      </c>
      <c r="Z45" s="26">
        <f>IF(AQ45="5",BJ45,0)</f>
        <v>0</v>
      </c>
      <c r="AB45" s="26">
        <f>IF(AQ45="1",BH45,0)</f>
        <v>0</v>
      </c>
      <c r="AC45" s="26">
        <f>IF(AQ45="1",BI45,0)</f>
        <v>0</v>
      </c>
      <c r="AD45" s="26">
        <f>IF(AQ45="7",BH45,0)</f>
        <v>0</v>
      </c>
      <c r="AE45" s="26">
        <f>IF(AQ45="7",BI45,0)</f>
        <v>0</v>
      </c>
      <c r="AF45" s="26">
        <f>IF(AQ45="2",BH45,0)</f>
        <v>0</v>
      </c>
      <c r="AG45" s="26">
        <f>IF(AQ45="2",BI45,0)</f>
        <v>0</v>
      </c>
      <c r="AH45" s="26">
        <f>IF(AQ45="0",BJ45,0)</f>
        <v>0</v>
      </c>
      <c r="AI45" s="1" t="s">
        <v>356</v>
      </c>
      <c r="AJ45" s="26">
        <f>IF(AN45=0,L45,0)</f>
        <v>0</v>
      </c>
      <c r="AK45" s="26">
        <f>IF(AN45=15,L45,0)</f>
        <v>0</v>
      </c>
      <c r="AL45" s="26">
        <f>IF(AN45=21,L45,0)</f>
        <v>0</v>
      </c>
      <c r="AN45" s="26">
        <v>21</v>
      </c>
      <c r="AO45" s="26">
        <f>I45*0</f>
        <v>0</v>
      </c>
      <c r="AP45" s="26">
        <f>I45*(1-0)</f>
        <v>0</v>
      </c>
      <c r="AQ45" s="28" t="s">
        <v>279</v>
      </c>
      <c r="AV45" s="26">
        <f>AW45+AX45</f>
        <v>0</v>
      </c>
      <c r="AW45" s="26">
        <f>H45*AO45</f>
        <v>0</v>
      </c>
      <c r="AX45" s="26">
        <f>H45*AP45</f>
        <v>0</v>
      </c>
      <c r="AY45" s="28" t="s">
        <v>462</v>
      </c>
      <c r="AZ45" s="28" t="s">
        <v>428</v>
      </c>
      <c r="BA45" s="1" t="s">
        <v>397</v>
      </c>
      <c r="BC45" s="26">
        <f>AW45+AX45</f>
        <v>0</v>
      </c>
      <c r="BD45" s="26">
        <f>I45/(100-BE45)*100</f>
        <v>0</v>
      </c>
      <c r="BE45" s="26">
        <v>0</v>
      </c>
      <c r="BF45" s="26">
        <f>45</f>
        <v>45</v>
      </c>
      <c r="BH45" s="26">
        <f>H45*AO45</f>
        <v>0</v>
      </c>
      <c r="BI45" s="26">
        <f>H45*AP45</f>
        <v>0</v>
      </c>
      <c r="BJ45" s="26">
        <f>H45*I45</f>
        <v>0</v>
      </c>
      <c r="BK45" s="26"/>
      <c r="BL45" s="26">
        <v>711</v>
      </c>
    </row>
    <row r="46" spans="1:47" ht="15" customHeight="1">
      <c r="A46" s="34" t="s">
        <v>356</v>
      </c>
      <c r="B46" s="52" t="s">
        <v>332</v>
      </c>
      <c r="C46" s="77" t="s">
        <v>603</v>
      </c>
      <c r="D46" s="77"/>
      <c r="E46" s="77"/>
      <c r="F46" s="77"/>
      <c r="G46" s="5" t="s">
        <v>492</v>
      </c>
      <c r="H46" s="5" t="s">
        <v>492</v>
      </c>
      <c r="I46" s="5" t="s">
        <v>492</v>
      </c>
      <c r="J46" s="47">
        <f>SUM(J47:J53)</f>
        <v>0</v>
      </c>
      <c r="K46" s="47">
        <f>SUM(K47:K53)</f>
        <v>0</v>
      </c>
      <c r="L46" s="47">
        <f>SUM(L47:L53)</f>
        <v>0</v>
      </c>
      <c r="M46" s="13" t="s">
        <v>356</v>
      </c>
      <c r="AI46" s="1" t="s">
        <v>356</v>
      </c>
      <c r="AS46" s="47">
        <f>SUM(AJ47:AJ53)</f>
        <v>0</v>
      </c>
      <c r="AT46" s="47">
        <f>SUM(AK47:AK53)</f>
        <v>0</v>
      </c>
      <c r="AU46" s="47">
        <f>SUM(AL47:AL53)</f>
        <v>0</v>
      </c>
    </row>
    <row r="47" spans="1:64" ht="15" customHeight="1">
      <c r="A47" s="33" t="s">
        <v>160</v>
      </c>
      <c r="B47" s="6" t="s">
        <v>224</v>
      </c>
      <c r="C47" s="62" t="s">
        <v>307</v>
      </c>
      <c r="D47" s="62"/>
      <c r="E47" s="62"/>
      <c r="F47" s="62"/>
      <c r="G47" s="6" t="s">
        <v>141</v>
      </c>
      <c r="H47" s="26">
        <v>1</v>
      </c>
      <c r="I47" s="26">
        <v>0</v>
      </c>
      <c r="J47" s="26">
        <f aca="true" t="shared" si="0" ref="J47:J53">H47*AO47</f>
        <v>0</v>
      </c>
      <c r="K47" s="26">
        <f aca="true" t="shared" si="1" ref="K47:K53">H47*AP47</f>
        <v>0</v>
      </c>
      <c r="L47" s="26">
        <f aca="true" t="shared" si="2" ref="L47:L53">H47*I47</f>
        <v>0</v>
      </c>
      <c r="M47" s="2" t="s">
        <v>197</v>
      </c>
      <c r="Z47" s="26">
        <f aca="true" t="shared" si="3" ref="Z47:Z53">IF(AQ47="5",BJ47,0)</f>
        <v>0</v>
      </c>
      <c r="AB47" s="26">
        <f aca="true" t="shared" si="4" ref="AB47:AB53">IF(AQ47="1",BH47,0)</f>
        <v>0</v>
      </c>
      <c r="AC47" s="26">
        <f aca="true" t="shared" si="5" ref="AC47:AC53">IF(AQ47="1",BI47,0)</f>
        <v>0</v>
      </c>
      <c r="AD47" s="26">
        <f aca="true" t="shared" si="6" ref="AD47:AD53">IF(AQ47="7",BH47,0)</f>
        <v>0</v>
      </c>
      <c r="AE47" s="26">
        <f aca="true" t="shared" si="7" ref="AE47:AE53">IF(AQ47="7",BI47,0)</f>
        <v>0</v>
      </c>
      <c r="AF47" s="26">
        <f aca="true" t="shared" si="8" ref="AF47:AF53">IF(AQ47="2",BH47,0)</f>
        <v>0</v>
      </c>
      <c r="AG47" s="26">
        <f aca="true" t="shared" si="9" ref="AG47:AG53">IF(AQ47="2",BI47,0)</f>
        <v>0</v>
      </c>
      <c r="AH47" s="26">
        <f aca="true" t="shared" si="10" ref="AH47:AH53">IF(AQ47="0",BJ47,0)</f>
        <v>0</v>
      </c>
      <c r="AI47" s="1" t="s">
        <v>356</v>
      </c>
      <c r="AJ47" s="26">
        <f aca="true" t="shared" si="11" ref="AJ47:AJ53">IF(AN47=0,L47,0)</f>
        <v>0</v>
      </c>
      <c r="AK47" s="26">
        <f aca="true" t="shared" si="12" ref="AK47:AK53">IF(AN47=15,L47,0)</f>
        <v>0</v>
      </c>
      <c r="AL47" s="26">
        <f aca="true" t="shared" si="13" ref="AL47:AL53">IF(AN47=21,L47,0)</f>
        <v>0</v>
      </c>
      <c r="AN47" s="26">
        <v>21</v>
      </c>
      <c r="AO47" s="26">
        <f>I47*0.2356206009116</f>
        <v>0</v>
      </c>
      <c r="AP47" s="26">
        <f>I47*(1-0.2356206009116)</f>
        <v>0</v>
      </c>
      <c r="AQ47" s="28" t="s">
        <v>539</v>
      </c>
      <c r="AV47" s="26">
        <f aca="true" t="shared" si="14" ref="AV47:AV53">AW47+AX47</f>
        <v>0</v>
      </c>
      <c r="AW47" s="26">
        <f aca="true" t="shared" si="15" ref="AW47:AW53">H47*AO47</f>
        <v>0</v>
      </c>
      <c r="AX47" s="26">
        <f aca="true" t="shared" si="16" ref="AX47:AX53">H47*AP47</f>
        <v>0</v>
      </c>
      <c r="AY47" s="28" t="s">
        <v>86</v>
      </c>
      <c r="AZ47" s="28" t="s">
        <v>31</v>
      </c>
      <c r="BA47" s="1" t="s">
        <v>397</v>
      </c>
      <c r="BC47" s="26">
        <f aca="true" t="shared" si="17" ref="BC47:BC53">AW47+AX47</f>
        <v>0</v>
      </c>
      <c r="BD47" s="26">
        <f aca="true" t="shared" si="18" ref="BD47:BD53">I47/(100-BE47)*100</f>
        <v>0</v>
      </c>
      <c r="BE47" s="26">
        <v>0</v>
      </c>
      <c r="BF47" s="26">
        <f>47</f>
        <v>47</v>
      </c>
      <c r="BH47" s="26">
        <f aca="true" t="shared" si="19" ref="BH47:BH53">H47*AO47</f>
        <v>0</v>
      </c>
      <c r="BI47" s="26">
        <f aca="true" t="shared" si="20" ref="BI47:BI53">H47*AP47</f>
        <v>0</v>
      </c>
      <c r="BJ47" s="26">
        <f aca="true" t="shared" si="21" ref="BJ47:BJ53">H47*I47</f>
        <v>0</v>
      </c>
      <c r="BK47" s="26"/>
      <c r="BL47" s="26">
        <v>721</v>
      </c>
    </row>
    <row r="48" spans="1:64" ht="15" customHeight="1">
      <c r="A48" s="33" t="s">
        <v>309</v>
      </c>
      <c r="B48" s="6" t="s">
        <v>449</v>
      </c>
      <c r="C48" s="62" t="s">
        <v>26</v>
      </c>
      <c r="D48" s="62"/>
      <c r="E48" s="62"/>
      <c r="F48" s="62"/>
      <c r="G48" s="6" t="s">
        <v>438</v>
      </c>
      <c r="H48" s="26">
        <v>1</v>
      </c>
      <c r="I48" s="26">
        <v>0</v>
      </c>
      <c r="J48" s="26">
        <f t="shared" si="0"/>
        <v>0</v>
      </c>
      <c r="K48" s="26">
        <f t="shared" si="1"/>
        <v>0</v>
      </c>
      <c r="L48" s="26">
        <f t="shared" si="2"/>
        <v>0</v>
      </c>
      <c r="M48" s="2" t="s">
        <v>197</v>
      </c>
      <c r="Z48" s="26">
        <f t="shared" si="3"/>
        <v>0</v>
      </c>
      <c r="AB48" s="26">
        <f t="shared" si="4"/>
        <v>0</v>
      </c>
      <c r="AC48" s="26">
        <f t="shared" si="5"/>
        <v>0</v>
      </c>
      <c r="AD48" s="26">
        <f t="shared" si="6"/>
        <v>0</v>
      </c>
      <c r="AE48" s="26">
        <f t="shared" si="7"/>
        <v>0</v>
      </c>
      <c r="AF48" s="26">
        <f t="shared" si="8"/>
        <v>0</v>
      </c>
      <c r="AG48" s="26">
        <f t="shared" si="9"/>
        <v>0</v>
      </c>
      <c r="AH48" s="26">
        <f t="shared" si="10"/>
        <v>0</v>
      </c>
      <c r="AI48" s="1" t="s">
        <v>356</v>
      </c>
      <c r="AJ48" s="26">
        <f t="shared" si="11"/>
        <v>0</v>
      </c>
      <c r="AK48" s="26">
        <f t="shared" si="12"/>
        <v>0</v>
      </c>
      <c r="AL48" s="26">
        <f t="shared" si="13"/>
        <v>0</v>
      </c>
      <c r="AN48" s="26">
        <v>21</v>
      </c>
      <c r="AO48" s="26">
        <f>I48*0.437296494598166</f>
        <v>0</v>
      </c>
      <c r="AP48" s="26">
        <f>I48*(1-0.437296494598166)</f>
        <v>0</v>
      </c>
      <c r="AQ48" s="28" t="s">
        <v>539</v>
      </c>
      <c r="AV48" s="26">
        <f t="shared" si="14"/>
        <v>0</v>
      </c>
      <c r="AW48" s="26">
        <f t="shared" si="15"/>
        <v>0</v>
      </c>
      <c r="AX48" s="26">
        <f t="shared" si="16"/>
        <v>0</v>
      </c>
      <c r="AY48" s="28" t="s">
        <v>86</v>
      </c>
      <c r="AZ48" s="28" t="s">
        <v>31</v>
      </c>
      <c r="BA48" s="1" t="s">
        <v>397</v>
      </c>
      <c r="BC48" s="26">
        <f t="shared" si="17"/>
        <v>0</v>
      </c>
      <c r="BD48" s="26">
        <f t="shared" si="18"/>
        <v>0</v>
      </c>
      <c r="BE48" s="26">
        <v>0</v>
      </c>
      <c r="BF48" s="26">
        <f>48</f>
        <v>48</v>
      </c>
      <c r="BH48" s="26">
        <f t="shared" si="19"/>
        <v>0</v>
      </c>
      <c r="BI48" s="26">
        <f t="shared" si="20"/>
        <v>0</v>
      </c>
      <c r="BJ48" s="26">
        <f t="shared" si="21"/>
        <v>0</v>
      </c>
      <c r="BK48" s="26"/>
      <c r="BL48" s="26">
        <v>721</v>
      </c>
    </row>
    <row r="49" spans="1:64" ht="15" customHeight="1">
      <c r="A49" s="33" t="s">
        <v>202</v>
      </c>
      <c r="B49" s="6" t="s">
        <v>20</v>
      </c>
      <c r="C49" s="62" t="s">
        <v>308</v>
      </c>
      <c r="D49" s="62"/>
      <c r="E49" s="62"/>
      <c r="F49" s="62"/>
      <c r="G49" s="6" t="s">
        <v>141</v>
      </c>
      <c r="H49" s="26">
        <v>3</v>
      </c>
      <c r="I49" s="26">
        <v>0</v>
      </c>
      <c r="J49" s="26">
        <f t="shared" si="0"/>
        <v>0</v>
      </c>
      <c r="K49" s="26">
        <f t="shared" si="1"/>
        <v>0</v>
      </c>
      <c r="L49" s="26">
        <f t="shared" si="2"/>
        <v>0</v>
      </c>
      <c r="M49" s="2" t="s">
        <v>197</v>
      </c>
      <c r="Z49" s="26">
        <f t="shared" si="3"/>
        <v>0</v>
      </c>
      <c r="AB49" s="26">
        <f t="shared" si="4"/>
        <v>0</v>
      </c>
      <c r="AC49" s="26">
        <f t="shared" si="5"/>
        <v>0</v>
      </c>
      <c r="AD49" s="26">
        <f t="shared" si="6"/>
        <v>0</v>
      </c>
      <c r="AE49" s="26">
        <f t="shared" si="7"/>
        <v>0</v>
      </c>
      <c r="AF49" s="26">
        <f t="shared" si="8"/>
        <v>0</v>
      </c>
      <c r="AG49" s="26">
        <f t="shared" si="9"/>
        <v>0</v>
      </c>
      <c r="AH49" s="26">
        <f t="shared" si="10"/>
        <v>0</v>
      </c>
      <c r="AI49" s="1" t="s">
        <v>356</v>
      </c>
      <c r="AJ49" s="26">
        <f t="shared" si="11"/>
        <v>0</v>
      </c>
      <c r="AK49" s="26">
        <f t="shared" si="12"/>
        <v>0</v>
      </c>
      <c r="AL49" s="26">
        <f t="shared" si="13"/>
        <v>0</v>
      </c>
      <c r="AN49" s="26">
        <v>21</v>
      </c>
      <c r="AO49" s="26">
        <f>I49*0</f>
        <v>0</v>
      </c>
      <c r="AP49" s="26">
        <f>I49*(1-0)</f>
        <v>0</v>
      </c>
      <c r="AQ49" s="28" t="s">
        <v>539</v>
      </c>
      <c r="AV49" s="26">
        <f t="shared" si="14"/>
        <v>0</v>
      </c>
      <c r="AW49" s="26">
        <f t="shared" si="15"/>
        <v>0</v>
      </c>
      <c r="AX49" s="26">
        <f t="shared" si="16"/>
        <v>0</v>
      </c>
      <c r="AY49" s="28" t="s">
        <v>86</v>
      </c>
      <c r="AZ49" s="28" t="s">
        <v>31</v>
      </c>
      <c r="BA49" s="1" t="s">
        <v>397</v>
      </c>
      <c r="BC49" s="26">
        <f t="shared" si="17"/>
        <v>0</v>
      </c>
      <c r="BD49" s="26">
        <f t="shared" si="18"/>
        <v>0</v>
      </c>
      <c r="BE49" s="26">
        <v>0</v>
      </c>
      <c r="BF49" s="26">
        <f>49</f>
        <v>49</v>
      </c>
      <c r="BH49" s="26">
        <f t="shared" si="19"/>
        <v>0</v>
      </c>
      <c r="BI49" s="26">
        <f t="shared" si="20"/>
        <v>0</v>
      </c>
      <c r="BJ49" s="26">
        <f t="shared" si="21"/>
        <v>0</v>
      </c>
      <c r="BK49" s="26"/>
      <c r="BL49" s="26">
        <v>721</v>
      </c>
    </row>
    <row r="50" spans="1:64" ht="15" customHeight="1">
      <c r="A50" s="33" t="s">
        <v>49</v>
      </c>
      <c r="B50" s="6" t="s">
        <v>139</v>
      </c>
      <c r="C50" s="62" t="s">
        <v>23</v>
      </c>
      <c r="D50" s="62"/>
      <c r="E50" s="62"/>
      <c r="F50" s="62"/>
      <c r="G50" s="6" t="s">
        <v>141</v>
      </c>
      <c r="H50" s="26">
        <v>1</v>
      </c>
      <c r="I50" s="26">
        <v>0</v>
      </c>
      <c r="J50" s="26">
        <f t="shared" si="0"/>
        <v>0</v>
      </c>
      <c r="K50" s="26">
        <f t="shared" si="1"/>
        <v>0</v>
      </c>
      <c r="L50" s="26">
        <f t="shared" si="2"/>
        <v>0</v>
      </c>
      <c r="M50" s="2" t="s">
        <v>197</v>
      </c>
      <c r="Z50" s="26">
        <f t="shared" si="3"/>
        <v>0</v>
      </c>
      <c r="AB50" s="26">
        <f t="shared" si="4"/>
        <v>0</v>
      </c>
      <c r="AC50" s="26">
        <f t="shared" si="5"/>
        <v>0</v>
      </c>
      <c r="AD50" s="26">
        <f t="shared" si="6"/>
        <v>0</v>
      </c>
      <c r="AE50" s="26">
        <f t="shared" si="7"/>
        <v>0</v>
      </c>
      <c r="AF50" s="26">
        <f t="shared" si="8"/>
        <v>0</v>
      </c>
      <c r="AG50" s="26">
        <f t="shared" si="9"/>
        <v>0</v>
      </c>
      <c r="AH50" s="26">
        <f t="shared" si="10"/>
        <v>0</v>
      </c>
      <c r="AI50" s="1" t="s">
        <v>356</v>
      </c>
      <c r="AJ50" s="26">
        <f t="shared" si="11"/>
        <v>0</v>
      </c>
      <c r="AK50" s="26">
        <f t="shared" si="12"/>
        <v>0</v>
      </c>
      <c r="AL50" s="26">
        <f t="shared" si="13"/>
        <v>0</v>
      </c>
      <c r="AN50" s="26">
        <v>21</v>
      </c>
      <c r="AO50" s="26">
        <f>I50*0</f>
        <v>0</v>
      </c>
      <c r="AP50" s="26">
        <f>I50*(1-0)</f>
        <v>0</v>
      </c>
      <c r="AQ50" s="28" t="s">
        <v>539</v>
      </c>
      <c r="AV50" s="26">
        <f t="shared" si="14"/>
        <v>0</v>
      </c>
      <c r="AW50" s="26">
        <f t="shared" si="15"/>
        <v>0</v>
      </c>
      <c r="AX50" s="26">
        <f t="shared" si="16"/>
        <v>0</v>
      </c>
      <c r="AY50" s="28" t="s">
        <v>86</v>
      </c>
      <c r="AZ50" s="28" t="s">
        <v>31</v>
      </c>
      <c r="BA50" s="1" t="s">
        <v>397</v>
      </c>
      <c r="BC50" s="26">
        <f t="shared" si="17"/>
        <v>0</v>
      </c>
      <c r="BD50" s="26">
        <f t="shared" si="18"/>
        <v>0</v>
      </c>
      <c r="BE50" s="26">
        <v>0</v>
      </c>
      <c r="BF50" s="26">
        <f>50</f>
        <v>50</v>
      </c>
      <c r="BH50" s="26">
        <f t="shared" si="19"/>
        <v>0</v>
      </c>
      <c r="BI50" s="26">
        <f t="shared" si="20"/>
        <v>0</v>
      </c>
      <c r="BJ50" s="26">
        <f t="shared" si="21"/>
        <v>0</v>
      </c>
      <c r="BK50" s="26"/>
      <c r="BL50" s="26">
        <v>721</v>
      </c>
    </row>
    <row r="51" spans="1:64" ht="15" customHeight="1">
      <c r="A51" s="33" t="s">
        <v>359</v>
      </c>
      <c r="B51" s="6" t="s">
        <v>215</v>
      </c>
      <c r="C51" s="62" t="s">
        <v>427</v>
      </c>
      <c r="D51" s="62"/>
      <c r="E51" s="62"/>
      <c r="F51" s="62"/>
      <c r="G51" s="6" t="s">
        <v>438</v>
      </c>
      <c r="H51" s="26">
        <v>3</v>
      </c>
      <c r="I51" s="26">
        <v>0</v>
      </c>
      <c r="J51" s="26">
        <f t="shared" si="0"/>
        <v>0</v>
      </c>
      <c r="K51" s="26">
        <f t="shared" si="1"/>
        <v>0</v>
      </c>
      <c r="L51" s="26">
        <f t="shared" si="2"/>
        <v>0</v>
      </c>
      <c r="M51" s="2" t="s">
        <v>197</v>
      </c>
      <c r="Z51" s="26">
        <f t="shared" si="3"/>
        <v>0</v>
      </c>
      <c r="AB51" s="26">
        <f t="shared" si="4"/>
        <v>0</v>
      </c>
      <c r="AC51" s="26">
        <f t="shared" si="5"/>
        <v>0</v>
      </c>
      <c r="AD51" s="26">
        <f t="shared" si="6"/>
        <v>0</v>
      </c>
      <c r="AE51" s="26">
        <f t="shared" si="7"/>
        <v>0</v>
      </c>
      <c r="AF51" s="26">
        <f t="shared" si="8"/>
        <v>0</v>
      </c>
      <c r="AG51" s="26">
        <f t="shared" si="9"/>
        <v>0</v>
      </c>
      <c r="AH51" s="26">
        <f t="shared" si="10"/>
        <v>0</v>
      </c>
      <c r="AI51" s="1" t="s">
        <v>356</v>
      </c>
      <c r="AJ51" s="26">
        <f t="shared" si="11"/>
        <v>0</v>
      </c>
      <c r="AK51" s="26">
        <f t="shared" si="12"/>
        <v>0</v>
      </c>
      <c r="AL51" s="26">
        <f t="shared" si="13"/>
        <v>0</v>
      </c>
      <c r="AN51" s="26">
        <v>21</v>
      </c>
      <c r="AO51" s="26">
        <f>I51*0.378966666666667</f>
        <v>0</v>
      </c>
      <c r="AP51" s="26">
        <f>I51*(1-0.378966666666667)</f>
        <v>0</v>
      </c>
      <c r="AQ51" s="28" t="s">
        <v>539</v>
      </c>
      <c r="AV51" s="26">
        <f t="shared" si="14"/>
        <v>0</v>
      </c>
      <c r="AW51" s="26">
        <f t="shared" si="15"/>
        <v>0</v>
      </c>
      <c r="AX51" s="26">
        <f t="shared" si="16"/>
        <v>0</v>
      </c>
      <c r="AY51" s="28" t="s">
        <v>86</v>
      </c>
      <c r="AZ51" s="28" t="s">
        <v>31</v>
      </c>
      <c r="BA51" s="1" t="s">
        <v>397</v>
      </c>
      <c r="BC51" s="26">
        <f t="shared" si="17"/>
        <v>0</v>
      </c>
      <c r="BD51" s="26">
        <f t="shared" si="18"/>
        <v>0</v>
      </c>
      <c r="BE51" s="26">
        <v>0</v>
      </c>
      <c r="BF51" s="26">
        <f>51</f>
        <v>51</v>
      </c>
      <c r="BH51" s="26">
        <f t="shared" si="19"/>
        <v>0</v>
      </c>
      <c r="BI51" s="26">
        <f t="shared" si="20"/>
        <v>0</v>
      </c>
      <c r="BJ51" s="26">
        <f t="shared" si="21"/>
        <v>0</v>
      </c>
      <c r="BK51" s="26"/>
      <c r="BL51" s="26">
        <v>721</v>
      </c>
    </row>
    <row r="52" spans="1:64" ht="15" customHeight="1">
      <c r="A52" s="33" t="s">
        <v>418</v>
      </c>
      <c r="B52" s="6" t="s">
        <v>445</v>
      </c>
      <c r="C52" s="62" t="s">
        <v>437</v>
      </c>
      <c r="D52" s="62"/>
      <c r="E52" s="62"/>
      <c r="F52" s="62"/>
      <c r="G52" s="6" t="s">
        <v>438</v>
      </c>
      <c r="H52" s="26">
        <v>4</v>
      </c>
      <c r="I52" s="26">
        <v>0</v>
      </c>
      <c r="J52" s="26">
        <f t="shared" si="0"/>
        <v>0</v>
      </c>
      <c r="K52" s="26">
        <f t="shared" si="1"/>
        <v>0</v>
      </c>
      <c r="L52" s="26">
        <f t="shared" si="2"/>
        <v>0</v>
      </c>
      <c r="M52" s="2" t="s">
        <v>197</v>
      </c>
      <c r="Z52" s="26">
        <f t="shared" si="3"/>
        <v>0</v>
      </c>
      <c r="AB52" s="26">
        <f t="shared" si="4"/>
        <v>0</v>
      </c>
      <c r="AC52" s="26">
        <f t="shared" si="5"/>
        <v>0</v>
      </c>
      <c r="AD52" s="26">
        <f t="shared" si="6"/>
        <v>0</v>
      </c>
      <c r="AE52" s="26">
        <f t="shared" si="7"/>
        <v>0</v>
      </c>
      <c r="AF52" s="26">
        <f t="shared" si="8"/>
        <v>0</v>
      </c>
      <c r="AG52" s="26">
        <f t="shared" si="9"/>
        <v>0</v>
      </c>
      <c r="AH52" s="26">
        <f t="shared" si="10"/>
        <v>0</v>
      </c>
      <c r="AI52" s="1" t="s">
        <v>356</v>
      </c>
      <c r="AJ52" s="26">
        <f t="shared" si="11"/>
        <v>0</v>
      </c>
      <c r="AK52" s="26">
        <f t="shared" si="12"/>
        <v>0</v>
      </c>
      <c r="AL52" s="26">
        <f t="shared" si="13"/>
        <v>0</v>
      </c>
      <c r="AN52" s="26">
        <v>21</v>
      </c>
      <c r="AO52" s="26">
        <f>I52*0.0265728800312622</f>
        <v>0</v>
      </c>
      <c r="AP52" s="26">
        <f>I52*(1-0.0265728800312622)</f>
        <v>0</v>
      </c>
      <c r="AQ52" s="28" t="s">
        <v>539</v>
      </c>
      <c r="AV52" s="26">
        <f t="shared" si="14"/>
        <v>0</v>
      </c>
      <c r="AW52" s="26">
        <f t="shared" si="15"/>
        <v>0</v>
      </c>
      <c r="AX52" s="26">
        <f t="shared" si="16"/>
        <v>0</v>
      </c>
      <c r="AY52" s="28" t="s">
        <v>86</v>
      </c>
      <c r="AZ52" s="28" t="s">
        <v>31</v>
      </c>
      <c r="BA52" s="1" t="s">
        <v>397</v>
      </c>
      <c r="BC52" s="26">
        <f t="shared" si="17"/>
        <v>0</v>
      </c>
      <c r="BD52" s="26">
        <f t="shared" si="18"/>
        <v>0</v>
      </c>
      <c r="BE52" s="26">
        <v>0</v>
      </c>
      <c r="BF52" s="26">
        <f>52</f>
        <v>52</v>
      </c>
      <c r="BH52" s="26">
        <f t="shared" si="19"/>
        <v>0</v>
      </c>
      <c r="BI52" s="26">
        <f t="shared" si="20"/>
        <v>0</v>
      </c>
      <c r="BJ52" s="26">
        <f t="shared" si="21"/>
        <v>0</v>
      </c>
      <c r="BK52" s="26"/>
      <c r="BL52" s="26">
        <v>721</v>
      </c>
    </row>
    <row r="53" spans="1:64" ht="15" customHeight="1">
      <c r="A53" s="33" t="s">
        <v>327</v>
      </c>
      <c r="B53" s="6" t="s">
        <v>88</v>
      </c>
      <c r="C53" s="62" t="s">
        <v>61</v>
      </c>
      <c r="D53" s="62"/>
      <c r="E53" s="62"/>
      <c r="F53" s="62"/>
      <c r="G53" s="6" t="s">
        <v>468</v>
      </c>
      <c r="H53" s="26">
        <v>1.85</v>
      </c>
      <c r="I53" s="26">
        <v>0</v>
      </c>
      <c r="J53" s="26">
        <f t="shared" si="0"/>
        <v>0</v>
      </c>
      <c r="K53" s="26">
        <f t="shared" si="1"/>
        <v>0</v>
      </c>
      <c r="L53" s="26">
        <f t="shared" si="2"/>
        <v>0</v>
      </c>
      <c r="M53" s="2" t="s">
        <v>197</v>
      </c>
      <c r="Z53" s="26">
        <f t="shared" si="3"/>
        <v>0</v>
      </c>
      <c r="AB53" s="26">
        <f t="shared" si="4"/>
        <v>0</v>
      </c>
      <c r="AC53" s="26">
        <f t="shared" si="5"/>
        <v>0</v>
      </c>
      <c r="AD53" s="26">
        <f t="shared" si="6"/>
        <v>0</v>
      </c>
      <c r="AE53" s="26">
        <f t="shared" si="7"/>
        <v>0</v>
      </c>
      <c r="AF53" s="26">
        <f t="shared" si="8"/>
        <v>0</v>
      </c>
      <c r="AG53" s="26">
        <f t="shared" si="9"/>
        <v>0</v>
      </c>
      <c r="AH53" s="26">
        <f t="shared" si="10"/>
        <v>0</v>
      </c>
      <c r="AI53" s="1" t="s">
        <v>356</v>
      </c>
      <c r="AJ53" s="26">
        <f t="shared" si="11"/>
        <v>0</v>
      </c>
      <c r="AK53" s="26">
        <f t="shared" si="12"/>
        <v>0</v>
      </c>
      <c r="AL53" s="26">
        <f t="shared" si="13"/>
        <v>0</v>
      </c>
      <c r="AN53" s="26">
        <v>21</v>
      </c>
      <c r="AO53" s="26">
        <f>I53*0</f>
        <v>0</v>
      </c>
      <c r="AP53" s="26">
        <f>I53*(1-0)</f>
        <v>0</v>
      </c>
      <c r="AQ53" s="28" t="s">
        <v>279</v>
      </c>
      <c r="AV53" s="26">
        <f t="shared" si="14"/>
        <v>0</v>
      </c>
      <c r="AW53" s="26">
        <f t="shared" si="15"/>
        <v>0</v>
      </c>
      <c r="AX53" s="26">
        <f t="shared" si="16"/>
        <v>0</v>
      </c>
      <c r="AY53" s="28" t="s">
        <v>86</v>
      </c>
      <c r="AZ53" s="28" t="s">
        <v>31</v>
      </c>
      <c r="BA53" s="1" t="s">
        <v>397</v>
      </c>
      <c r="BC53" s="26">
        <f t="shared" si="17"/>
        <v>0</v>
      </c>
      <c r="BD53" s="26">
        <f t="shared" si="18"/>
        <v>0</v>
      </c>
      <c r="BE53" s="26">
        <v>0</v>
      </c>
      <c r="BF53" s="26">
        <f>53</f>
        <v>53</v>
      </c>
      <c r="BH53" s="26">
        <f t="shared" si="19"/>
        <v>0</v>
      </c>
      <c r="BI53" s="26">
        <f t="shared" si="20"/>
        <v>0</v>
      </c>
      <c r="BJ53" s="26">
        <f t="shared" si="21"/>
        <v>0</v>
      </c>
      <c r="BK53" s="26"/>
      <c r="BL53" s="26">
        <v>721</v>
      </c>
    </row>
    <row r="54" spans="1:47" ht="15" customHeight="1">
      <c r="A54" s="34" t="s">
        <v>356</v>
      </c>
      <c r="B54" s="52" t="s">
        <v>481</v>
      </c>
      <c r="C54" s="77" t="s">
        <v>318</v>
      </c>
      <c r="D54" s="77"/>
      <c r="E54" s="77"/>
      <c r="F54" s="77"/>
      <c r="G54" s="5" t="s">
        <v>492</v>
      </c>
      <c r="H54" s="5" t="s">
        <v>492</v>
      </c>
      <c r="I54" s="5" t="s">
        <v>492</v>
      </c>
      <c r="J54" s="47">
        <f>SUM(J55:J63)</f>
        <v>0</v>
      </c>
      <c r="K54" s="47">
        <f>SUM(K55:K63)</f>
        <v>0</v>
      </c>
      <c r="L54" s="47">
        <f>SUM(L55:L63)</f>
        <v>0</v>
      </c>
      <c r="M54" s="13" t="s">
        <v>356</v>
      </c>
      <c r="AI54" s="1" t="s">
        <v>356</v>
      </c>
      <c r="AS54" s="47">
        <f>SUM(AJ55:AJ63)</f>
        <v>0</v>
      </c>
      <c r="AT54" s="47">
        <f>SUM(AK55:AK63)</f>
        <v>0</v>
      </c>
      <c r="AU54" s="47">
        <f>SUM(AL55:AL63)</f>
        <v>0</v>
      </c>
    </row>
    <row r="55" spans="1:64" ht="15" customHeight="1">
      <c r="A55" s="33" t="s">
        <v>18</v>
      </c>
      <c r="B55" s="6" t="s">
        <v>430</v>
      </c>
      <c r="C55" s="62" t="s">
        <v>65</v>
      </c>
      <c r="D55" s="62"/>
      <c r="E55" s="62"/>
      <c r="F55" s="62"/>
      <c r="G55" s="6" t="s">
        <v>438</v>
      </c>
      <c r="H55" s="26">
        <v>6</v>
      </c>
      <c r="I55" s="26">
        <v>0</v>
      </c>
      <c r="J55" s="26">
        <f>H55*AO55</f>
        <v>0</v>
      </c>
      <c r="K55" s="26">
        <f>H55*AP55</f>
        <v>0</v>
      </c>
      <c r="L55" s="26">
        <f>H55*I55</f>
        <v>0</v>
      </c>
      <c r="M55" s="2" t="s">
        <v>197</v>
      </c>
      <c r="Z55" s="26">
        <f>IF(AQ55="5",BJ55,0)</f>
        <v>0</v>
      </c>
      <c r="AB55" s="26">
        <f>IF(AQ55="1",BH55,0)</f>
        <v>0</v>
      </c>
      <c r="AC55" s="26">
        <f>IF(AQ55="1",BI55,0)</f>
        <v>0</v>
      </c>
      <c r="AD55" s="26">
        <f>IF(AQ55="7",BH55,0)</f>
        <v>0</v>
      </c>
      <c r="AE55" s="26">
        <f>IF(AQ55="7",BI55,0)</f>
        <v>0</v>
      </c>
      <c r="AF55" s="26">
        <f>IF(AQ55="2",BH55,0)</f>
        <v>0</v>
      </c>
      <c r="AG55" s="26">
        <f>IF(AQ55="2",BI55,0)</f>
        <v>0</v>
      </c>
      <c r="AH55" s="26">
        <f>IF(AQ55="0",BJ55,0)</f>
        <v>0</v>
      </c>
      <c r="AI55" s="1" t="s">
        <v>356</v>
      </c>
      <c r="AJ55" s="26">
        <f>IF(AN55=0,L55,0)</f>
        <v>0</v>
      </c>
      <c r="AK55" s="26">
        <f>IF(AN55=15,L55,0)</f>
        <v>0</v>
      </c>
      <c r="AL55" s="26">
        <f>IF(AN55=21,L55,0)</f>
        <v>0</v>
      </c>
      <c r="AN55" s="26">
        <v>21</v>
      </c>
      <c r="AO55" s="26">
        <f>I55*0.23676217765043</f>
        <v>0</v>
      </c>
      <c r="AP55" s="26">
        <f>I55*(1-0.23676217765043)</f>
        <v>0</v>
      </c>
      <c r="AQ55" s="28" t="s">
        <v>539</v>
      </c>
      <c r="AV55" s="26">
        <f>AW55+AX55</f>
        <v>0</v>
      </c>
      <c r="AW55" s="26">
        <f>H55*AO55</f>
        <v>0</v>
      </c>
      <c r="AX55" s="26">
        <f>H55*AP55</f>
        <v>0</v>
      </c>
      <c r="AY55" s="28" t="s">
        <v>325</v>
      </c>
      <c r="AZ55" s="28" t="s">
        <v>31</v>
      </c>
      <c r="BA55" s="1" t="s">
        <v>397</v>
      </c>
      <c r="BC55" s="26">
        <f>AW55+AX55</f>
        <v>0</v>
      </c>
      <c r="BD55" s="26">
        <f>I55/(100-BE55)*100</f>
        <v>0</v>
      </c>
      <c r="BE55" s="26">
        <v>0</v>
      </c>
      <c r="BF55" s="26">
        <f>55</f>
        <v>55</v>
      </c>
      <c r="BH55" s="26">
        <f>H55*AO55</f>
        <v>0</v>
      </c>
      <c r="BI55" s="26">
        <f>H55*AP55</f>
        <v>0</v>
      </c>
      <c r="BJ55" s="26">
        <f>H55*I55</f>
        <v>0</v>
      </c>
      <c r="BK55" s="26"/>
      <c r="BL55" s="26">
        <v>722</v>
      </c>
    </row>
    <row r="56" spans="1:13" ht="15" customHeight="1">
      <c r="A56" s="31"/>
      <c r="C56" s="37" t="s">
        <v>234</v>
      </c>
      <c r="F56" s="37" t="s">
        <v>356</v>
      </c>
      <c r="H56" s="20">
        <v>6.000000000000001</v>
      </c>
      <c r="M56" s="55"/>
    </row>
    <row r="57" spans="1:64" ht="15" customHeight="1">
      <c r="A57" s="33" t="s">
        <v>365</v>
      </c>
      <c r="B57" s="6" t="s">
        <v>413</v>
      </c>
      <c r="C57" s="62" t="s">
        <v>96</v>
      </c>
      <c r="D57" s="62"/>
      <c r="E57" s="62"/>
      <c r="F57" s="62"/>
      <c r="G57" s="6" t="s">
        <v>141</v>
      </c>
      <c r="H57" s="26">
        <v>2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2" t="s">
        <v>197</v>
      </c>
      <c r="Z57" s="26">
        <f>IF(AQ57="5",BJ57,0)</f>
        <v>0</v>
      </c>
      <c r="AB57" s="26">
        <f>IF(AQ57="1",BH57,0)</f>
        <v>0</v>
      </c>
      <c r="AC57" s="26">
        <f>IF(AQ57="1",BI57,0)</f>
        <v>0</v>
      </c>
      <c r="AD57" s="26">
        <f>IF(AQ57="7",BH57,0)</f>
        <v>0</v>
      </c>
      <c r="AE57" s="26">
        <f>IF(AQ57="7",BI57,0)</f>
        <v>0</v>
      </c>
      <c r="AF57" s="26">
        <f>IF(AQ57="2",BH57,0)</f>
        <v>0</v>
      </c>
      <c r="AG57" s="26">
        <f>IF(AQ57="2",BI57,0)</f>
        <v>0</v>
      </c>
      <c r="AH57" s="26">
        <f>IF(AQ57="0",BJ57,0)</f>
        <v>0</v>
      </c>
      <c r="AI57" s="1" t="s">
        <v>356</v>
      </c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26">
        <v>21</v>
      </c>
      <c r="AO57" s="26">
        <f>I57*0</f>
        <v>0</v>
      </c>
      <c r="AP57" s="26">
        <f>I57*(1-0)</f>
        <v>0</v>
      </c>
      <c r="AQ57" s="28" t="s">
        <v>539</v>
      </c>
      <c r="AV57" s="26">
        <f>AW57+AX57</f>
        <v>0</v>
      </c>
      <c r="AW57" s="26">
        <f>H57*AO57</f>
        <v>0</v>
      </c>
      <c r="AX57" s="26">
        <f>H57*AP57</f>
        <v>0</v>
      </c>
      <c r="AY57" s="28" t="s">
        <v>325</v>
      </c>
      <c r="AZ57" s="28" t="s">
        <v>31</v>
      </c>
      <c r="BA57" s="1" t="s">
        <v>397</v>
      </c>
      <c r="BC57" s="26">
        <f>AW57+AX57</f>
        <v>0</v>
      </c>
      <c r="BD57" s="26">
        <f>I57/(100-BE57)*100</f>
        <v>0</v>
      </c>
      <c r="BE57" s="26">
        <v>0</v>
      </c>
      <c r="BF57" s="26">
        <f>57</f>
        <v>57</v>
      </c>
      <c r="BH57" s="26">
        <f>H57*AO57</f>
        <v>0</v>
      </c>
      <c r="BI57" s="26">
        <f>H57*AP57</f>
        <v>0</v>
      </c>
      <c r="BJ57" s="26">
        <f>H57*I57</f>
        <v>0</v>
      </c>
      <c r="BK57" s="26"/>
      <c r="BL57" s="26">
        <v>722</v>
      </c>
    </row>
    <row r="58" spans="1:64" ht="15" customHeight="1">
      <c r="A58" s="33" t="s">
        <v>509</v>
      </c>
      <c r="B58" s="6" t="s">
        <v>577</v>
      </c>
      <c r="C58" s="62" t="s">
        <v>510</v>
      </c>
      <c r="D58" s="62"/>
      <c r="E58" s="62"/>
      <c r="F58" s="62"/>
      <c r="G58" s="6" t="s">
        <v>182</v>
      </c>
      <c r="H58" s="26">
        <v>1</v>
      </c>
      <c r="I58" s="26">
        <v>0</v>
      </c>
      <c r="J58" s="26">
        <f>H58*AO58</f>
        <v>0</v>
      </c>
      <c r="K58" s="26">
        <f>H58*AP58</f>
        <v>0</v>
      </c>
      <c r="L58" s="26">
        <f>H58*I58</f>
        <v>0</v>
      </c>
      <c r="M58" s="2" t="s">
        <v>197</v>
      </c>
      <c r="Z58" s="26">
        <f>IF(AQ58="5",BJ58,0)</f>
        <v>0</v>
      </c>
      <c r="AB58" s="26">
        <f>IF(AQ58="1",BH58,0)</f>
        <v>0</v>
      </c>
      <c r="AC58" s="26">
        <f>IF(AQ58="1",BI58,0)</f>
        <v>0</v>
      </c>
      <c r="AD58" s="26">
        <f>IF(AQ58="7",BH58,0)</f>
        <v>0</v>
      </c>
      <c r="AE58" s="26">
        <f>IF(AQ58="7",BI58,0)</f>
        <v>0</v>
      </c>
      <c r="AF58" s="26">
        <f>IF(AQ58="2",BH58,0)</f>
        <v>0</v>
      </c>
      <c r="AG58" s="26">
        <f>IF(AQ58="2",BI58,0)</f>
        <v>0</v>
      </c>
      <c r="AH58" s="26">
        <f>IF(AQ58="0",BJ58,0)</f>
        <v>0</v>
      </c>
      <c r="AI58" s="1" t="s">
        <v>356</v>
      </c>
      <c r="AJ58" s="26">
        <f>IF(AN58=0,L58,0)</f>
        <v>0</v>
      </c>
      <c r="AK58" s="26">
        <f>IF(AN58=15,L58,0)</f>
        <v>0</v>
      </c>
      <c r="AL58" s="26">
        <f>IF(AN58=21,L58,0)</f>
        <v>0</v>
      </c>
      <c r="AN58" s="26">
        <v>21</v>
      </c>
      <c r="AO58" s="26">
        <f>I58*0</f>
        <v>0</v>
      </c>
      <c r="AP58" s="26">
        <f>I58*(1-0)</f>
        <v>0</v>
      </c>
      <c r="AQ58" s="28" t="s">
        <v>539</v>
      </c>
      <c r="AV58" s="26">
        <f>AW58+AX58</f>
        <v>0</v>
      </c>
      <c r="AW58" s="26">
        <f>H58*AO58</f>
        <v>0</v>
      </c>
      <c r="AX58" s="26">
        <f>H58*AP58</f>
        <v>0</v>
      </c>
      <c r="AY58" s="28" t="s">
        <v>325</v>
      </c>
      <c r="AZ58" s="28" t="s">
        <v>31</v>
      </c>
      <c r="BA58" s="1" t="s">
        <v>397</v>
      </c>
      <c r="BC58" s="26">
        <f>AW58+AX58</f>
        <v>0</v>
      </c>
      <c r="BD58" s="26">
        <f>I58/(100-BE58)*100</f>
        <v>0</v>
      </c>
      <c r="BE58" s="26">
        <v>0</v>
      </c>
      <c r="BF58" s="26">
        <f>58</f>
        <v>58</v>
      </c>
      <c r="BH58" s="26">
        <f>H58*AO58</f>
        <v>0</v>
      </c>
      <c r="BI58" s="26">
        <f>H58*AP58</f>
        <v>0</v>
      </c>
      <c r="BJ58" s="26">
        <f>H58*I58</f>
        <v>0</v>
      </c>
      <c r="BK58" s="26"/>
      <c r="BL58" s="26">
        <v>722</v>
      </c>
    </row>
    <row r="59" spans="1:64" ht="15" customHeight="1">
      <c r="A59" s="33" t="s">
        <v>233</v>
      </c>
      <c r="B59" s="6" t="s">
        <v>118</v>
      </c>
      <c r="C59" s="62" t="s">
        <v>210</v>
      </c>
      <c r="D59" s="62"/>
      <c r="E59" s="62"/>
      <c r="F59" s="62"/>
      <c r="G59" s="6" t="s">
        <v>438</v>
      </c>
      <c r="H59" s="26">
        <v>6</v>
      </c>
      <c r="I59" s="26">
        <v>0</v>
      </c>
      <c r="J59" s="26">
        <f>H59*AO59</f>
        <v>0</v>
      </c>
      <c r="K59" s="26">
        <f>H59*AP59</f>
        <v>0</v>
      </c>
      <c r="L59" s="26">
        <f>H59*I59</f>
        <v>0</v>
      </c>
      <c r="M59" s="2" t="s">
        <v>197</v>
      </c>
      <c r="Z59" s="26">
        <f>IF(AQ59="5",BJ59,0)</f>
        <v>0</v>
      </c>
      <c r="AB59" s="26">
        <f>IF(AQ59="1",BH59,0)</f>
        <v>0</v>
      </c>
      <c r="AC59" s="26">
        <f>IF(AQ59="1",BI59,0)</f>
        <v>0</v>
      </c>
      <c r="AD59" s="26">
        <f>IF(AQ59="7",BH59,0)</f>
        <v>0</v>
      </c>
      <c r="AE59" s="26">
        <f>IF(AQ59="7",BI59,0)</f>
        <v>0</v>
      </c>
      <c r="AF59" s="26">
        <f>IF(AQ59="2",BH59,0)</f>
        <v>0</v>
      </c>
      <c r="AG59" s="26">
        <f>IF(AQ59="2",BI59,0)</f>
        <v>0</v>
      </c>
      <c r="AH59" s="26">
        <f>IF(AQ59="0",BJ59,0)</f>
        <v>0</v>
      </c>
      <c r="AI59" s="1" t="s">
        <v>356</v>
      </c>
      <c r="AJ59" s="26">
        <f>IF(AN59=0,L59,0)</f>
        <v>0</v>
      </c>
      <c r="AK59" s="26">
        <f>IF(AN59=15,L59,0)</f>
        <v>0</v>
      </c>
      <c r="AL59" s="26">
        <f>IF(AN59=21,L59,0)</f>
        <v>0</v>
      </c>
      <c r="AN59" s="26">
        <v>21</v>
      </c>
      <c r="AO59" s="26">
        <f>I59*0.196850393700787</f>
        <v>0</v>
      </c>
      <c r="AP59" s="26">
        <f>I59*(1-0.196850393700787)</f>
        <v>0</v>
      </c>
      <c r="AQ59" s="28" t="s">
        <v>539</v>
      </c>
      <c r="AV59" s="26">
        <f>AW59+AX59</f>
        <v>0</v>
      </c>
      <c r="AW59" s="26">
        <f>H59*AO59</f>
        <v>0</v>
      </c>
      <c r="AX59" s="26">
        <f>H59*AP59</f>
        <v>0</v>
      </c>
      <c r="AY59" s="28" t="s">
        <v>325</v>
      </c>
      <c r="AZ59" s="28" t="s">
        <v>31</v>
      </c>
      <c r="BA59" s="1" t="s">
        <v>397</v>
      </c>
      <c r="BC59" s="26">
        <f>AW59+AX59</f>
        <v>0</v>
      </c>
      <c r="BD59" s="26">
        <f>I59/(100-BE59)*100</f>
        <v>0</v>
      </c>
      <c r="BE59" s="26">
        <v>0</v>
      </c>
      <c r="BF59" s="26">
        <f>59</f>
        <v>59</v>
      </c>
      <c r="BH59" s="26">
        <f>H59*AO59</f>
        <v>0</v>
      </c>
      <c r="BI59" s="26">
        <f>H59*AP59</f>
        <v>0</v>
      </c>
      <c r="BJ59" s="26">
        <f>H59*I59</f>
        <v>0</v>
      </c>
      <c r="BK59" s="26"/>
      <c r="BL59" s="26">
        <v>722</v>
      </c>
    </row>
    <row r="60" spans="1:13" ht="15" customHeight="1">
      <c r="A60" s="31"/>
      <c r="C60" s="37" t="s">
        <v>234</v>
      </c>
      <c r="F60" s="37" t="s">
        <v>356</v>
      </c>
      <c r="H60" s="20">
        <v>6.000000000000001</v>
      </c>
      <c r="M60" s="55"/>
    </row>
    <row r="61" spans="1:64" ht="15" customHeight="1">
      <c r="A61" s="33" t="s">
        <v>52</v>
      </c>
      <c r="B61" s="6" t="s">
        <v>255</v>
      </c>
      <c r="C61" s="62" t="s">
        <v>251</v>
      </c>
      <c r="D61" s="62"/>
      <c r="E61" s="62"/>
      <c r="F61" s="62"/>
      <c r="G61" s="6" t="s">
        <v>13</v>
      </c>
      <c r="H61" s="26">
        <v>1</v>
      </c>
      <c r="I61" s="26">
        <v>0</v>
      </c>
      <c r="J61" s="26">
        <f>H61*AO61</f>
        <v>0</v>
      </c>
      <c r="K61" s="26">
        <f>H61*AP61</f>
        <v>0</v>
      </c>
      <c r="L61" s="26">
        <f>H61*I61</f>
        <v>0</v>
      </c>
      <c r="M61" s="2" t="s">
        <v>197</v>
      </c>
      <c r="Z61" s="26">
        <f>IF(AQ61="5",BJ61,0)</f>
        <v>0</v>
      </c>
      <c r="AB61" s="26">
        <f>IF(AQ61="1",BH61,0)</f>
        <v>0</v>
      </c>
      <c r="AC61" s="26">
        <f>IF(AQ61="1",BI61,0)</f>
        <v>0</v>
      </c>
      <c r="AD61" s="26">
        <f>IF(AQ61="7",BH61,0)</f>
        <v>0</v>
      </c>
      <c r="AE61" s="26">
        <f>IF(AQ61="7",BI61,0)</f>
        <v>0</v>
      </c>
      <c r="AF61" s="26">
        <f>IF(AQ61="2",BH61,0)</f>
        <v>0</v>
      </c>
      <c r="AG61" s="26">
        <f>IF(AQ61="2",BI61,0)</f>
        <v>0</v>
      </c>
      <c r="AH61" s="26">
        <f>IF(AQ61="0",BJ61,0)</f>
        <v>0</v>
      </c>
      <c r="AI61" s="1" t="s">
        <v>356</v>
      </c>
      <c r="AJ61" s="26">
        <f>IF(AN61=0,L61,0)</f>
        <v>0</v>
      </c>
      <c r="AK61" s="26">
        <f>IF(AN61=15,L61,0)</f>
        <v>0</v>
      </c>
      <c r="AL61" s="26">
        <f>IF(AN61=21,L61,0)</f>
        <v>0</v>
      </c>
      <c r="AN61" s="26">
        <v>21</v>
      </c>
      <c r="AO61" s="26">
        <f>I61*0.500380666268853</f>
        <v>0</v>
      </c>
      <c r="AP61" s="26">
        <f>I61*(1-0.500380666268853)</f>
        <v>0</v>
      </c>
      <c r="AQ61" s="28" t="s">
        <v>539</v>
      </c>
      <c r="AV61" s="26">
        <f>AW61+AX61</f>
        <v>0</v>
      </c>
      <c r="AW61" s="26">
        <f>H61*AO61</f>
        <v>0</v>
      </c>
      <c r="AX61" s="26">
        <f>H61*AP61</f>
        <v>0</v>
      </c>
      <c r="AY61" s="28" t="s">
        <v>325</v>
      </c>
      <c r="AZ61" s="28" t="s">
        <v>31</v>
      </c>
      <c r="BA61" s="1" t="s">
        <v>397</v>
      </c>
      <c r="BC61" s="26">
        <f>AW61+AX61</f>
        <v>0</v>
      </c>
      <c r="BD61" s="26">
        <f>I61/(100-BE61)*100</f>
        <v>0</v>
      </c>
      <c r="BE61" s="26">
        <v>0</v>
      </c>
      <c r="BF61" s="26">
        <f>61</f>
        <v>61</v>
      </c>
      <c r="BH61" s="26">
        <f>H61*AO61</f>
        <v>0</v>
      </c>
      <c r="BI61" s="26">
        <f>H61*AP61</f>
        <v>0</v>
      </c>
      <c r="BJ61" s="26">
        <f>H61*I61</f>
        <v>0</v>
      </c>
      <c r="BK61" s="26"/>
      <c r="BL61" s="26">
        <v>722</v>
      </c>
    </row>
    <row r="62" spans="1:64" ht="15" customHeight="1">
      <c r="A62" s="33" t="s">
        <v>140</v>
      </c>
      <c r="B62" s="6" t="s">
        <v>5</v>
      </c>
      <c r="C62" s="62" t="s">
        <v>2</v>
      </c>
      <c r="D62" s="62"/>
      <c r="E62" s="62"/>
      <c r="F62" s="62"/>
      <c r="G62" s="6" t="s">
        <v>141</v>
      </c>
      <c r="H62" s="26">
        <v>4</v>
      </c>
      <c r="I62" s="26">
        <v>0</v>
      </c>
      <c r="J62" s="26">
        <f>H62*AO62</f>
        <v>0</v>
      </c>
      <c r="K62" s="26">
        <f>H62*AP62</f>
        <v>0</v>
      </c>
      <c r="L62" s="26">
        <f>H62*I62</f>
        <v>0</v>
      </c>
      <c r="M62" s="2" t="s">
        <v>197</v>
      </c>
      <c r="Z62" s="26">
        <f>IF(AQ62="5",BJ62,0)</f>
        <v>0</v>
      </c>
      <c r="AB62" s="26">
        <f>IF(AQ62="1",BH62,0)</f>
        <v>0</v>
      </c>
      <c r="AC62" s="26">
        <f>IF(AQ62="1",BI62,0)</f>
        <v>0</v>
      </c>
      <c r="AD62" s="26">
        <f>IF(AQ62="7",BH62,0)</f>
        <v>0</v>
      </c>
      <c r="AE62" s="26">
        <f>IF(AQ62="7",BI62,0)</f>
        <v>0</v>
      </c>
      <c r="AF62" s="26">
        <f>IF(AQ62="2",BH62,0)</f>
        <v>0</v>
      </c>
      <c r="AG62" s="26">
        <f>IF(AQ62="2",BI62,0)</f>
        <v>0</v>
      </c>
      <c r="AH62" s="26">
        <f>IF(AQ62="0",BJ62,0)</f>
        <v>0</v>
      </c>
      <c r="AI62" s="1" t="s">
        <v>356</v>
      </c>
      <c r="AJ62" s="26">
        <f>IF(AN62=0,L62,0)</f>
        <v>0</v>
      </c>
      <c r="AK62" s="26">
        <f>IF(AN62=15,L62,0)</f>
        <v>0</v>
      </c>
      <c r="AL62" s="26">
        <f>IF(AN62=21,L62,0)</f>
        <v>0</v>
      </c>
      <c r="AN62" s="26">
        <v>21</v>
      </c>
      <c r="AO62" s="26">
        <f>I62*0.493581780538302</f>
        <v>0</v>
      </c>
      <c r="AP62" s="26">
        <f>I62*(1-0.493581780538302)</f>
        <v>0</v>
      </c>
      <c r="AQ62" s="28" t="s">
        <v>539</v>
      </c>
      <c r="AV62" s="26">
        <f>AW62+AX62</f>
        <v>0</v>
      </c>
      <c r="AW62" s="26">
        <f>H62*AO62</f>
        <v>0</v>
      </c>
      <c r="AX62" s="26">
        <f>H62*AP62</f>
        <v>0</v>
      </c>
      <c r="AY62" s="28" t="s">
        <v>325</v>
      </c>
      <c r="AZ62" s="28" t="s">
        <v>31</v>
      </c>
      <c r="BA62" s="1" t="s">
        <v>397</v>
      </c>
      <c r="BC62" s="26">
        <f>AW62+AX62</f>
        <v>0</v>
      </c>
      <c r="BD62" s="26">
        <f>I62/(100-BE62)*100</f>
        <v>0</v>
      </c>
      <c r="BE62" s="26">
        <v>0</v>
      </c>
      <c r="BF62" s="26">
        <f>62</f>
        <v>62</v>
      </c>
      <c r="BH62" s="26">
        <f>H62*AO62</f>
        <v>0</v>
      </c>
      <c r="BI62" s="26">
        <f>H62*AP62</f>
        <v>0</v>
      </c>
      <c r="BJ62" s="26">
        <f>H62*I62</f>
        <v>0</v>
      </c>
      <c r="BK62" s="26"/>
      <c r="BL62" s="26">
        <v>722</v>
      </c>
    </row>
    <row r="63" spans="1:64" ht="15" customHeight="1">
      <c r="A63" s="33" t="s">
        <v>79</v>
      </c>
      <c r="B63" s="6" t="s">
        <v>435</v>
      </c>
      <c r="C63" s="62" t="s">
        <v>282</v>
      </c>
      <c r="D63" s="62"/>
      <c r="E63" s="62"/>
      <c r="F63" s="62"/>
      <c r="G63" s="6" t="s">
        <v>468</v>
      </c>
      <c r="H63" s="26">
        <v>1.25</v>
      </c>
      <c r="I63" s="26">
        <v>0</v>
      </c>
      <c r="J63" s="26">
        <f>H63*AO63</f>
        <v>0</v>
      </c>
      <c r="K63" s="26">
        <f>H63*AP63</f>
        <v>0</v>
      </c>
      <c r="L63" s="26">
        <f>H63*I63</f>
        <v>0</v>
      </c>
      <c r="M63" s="2" t="s">
        <v>197</v>
      </c>
      <c r="Z63" s="26">
        <f>IF(AQ63="5",BJ63,0)</f>
        <v>0</v>
      </c>
      <c r="AB63" s="26">
        <f>IF(AQ63="1",BH63,0)</f>
        <v>0</v>
      </c>
      <c r="AC63" s="26">
        <f>IF(AQ63="1",BI63,0)</f>
        <v>0</v>
      </c>
      <c r="AD63" s="26">
        <f>IF(AQ63="7",BH63,0)</f>
        <v>0</v>
      </c>
      <c r="AE63" s="26">
        <f>IF(AQ63="7",BI63,0)</f>
        <v>0</v>
      </c>
      <c r="AF63" s="26">
        <f>IF(AQ63="2",BH63,0)</f>
        <v>0</v>
      </c>
      <c r="AG63" s="26">
        <f>IF(AQ63="2",BI63,0)</f>
        <v>0</v>
      </c>
      <c r="AH63" s="26">
        <f>IF(AQ63="0",BJ63,0)</f>
        <v>0</v>
      </c>
      <c r="AI63" s="1" t="s">
        <v>356</v>
      </c>
      <c r="AJ63" s="26">
        <f>IF(AN63=0,L63,0)</f>
        <v>0</v>
      </c>
      <c r="AK63" s="26">
        <f>IF(AN63=15,L63,0)</f>
        <v>0</v>
      </c>
      <c r="AL63" s="26">
        <f>IF(AN63=21,L63,0)</f>
        <v>0</v>
      </c>
      <c r="AN63" s="26">
        <v>21</v>
      </c>
      <c r="AO63" s="26">
        <f>I63*0</f>
        <v>0</v>
      </c>
      <c r="AP63" s="26">
        <f>I63*(1-0)</f>
        <v>0</v>
      </c>
      <c r="AQ63" s="28" t="s">
        <v>279</v>
      </c>
      <c r="AV63" s="26">
        <f>AW63+AX63</f>
        <v>0</v>
      </c>
      <c r="AW63" s="26">
        <f>H63*AO63</f>
        <v>0</v>
      </c>
      <c r="AX63" s="26">
        <f>H63*AP63</f>
        <v>0</v>
      </c>
      <c r="AY63" s="28" t="s">
        <v>325</v>
      </c>
      <c r="AZ63" s="28" t="s">
        <v>31</v>
      </c>
      <c r="BA63" s="1" t="s">
        <v>397</v>
      </c>
      <c r="BC63" s="26">
        <f>AW63+AX63</f>
        <v>0</v>
      </c>
      <c r="BD63" s="26">
        <f>I63/(100-BE63)*100</f>
        <v>0</v>
      </c>
      <c r="BE63" s="26">
        <v>0</v>
      </c>
      <c r="BF63" s="26">
        <f>63</f>
        <v>63</v>
      </c>
      <c r="BH63" s="26">
        <f>H63*AO63</f>
        <v>0</v>
      </c>
      <c r="BI63" s="26">
        <f>H63*AP63</f>
        <v>0</v>
      </c>
      <c r="BJ63" s="26">
        <f>H63*I63</f>
        <v>0</v>
      </c>
      <c r="BK63" s="26"/>
      <c r="BL63" s="26">
        <v>722</v>
      </c>
    </row>
    <row r="64" spans="1:47" ht="15" customHeight="1">
      <c r="A64" s="34" t="s">
        <v>356</v>
      </c>
      <c r="B64" s="52" t="s">
        <v>517</v>
      </c>
      <c r="C64" s="77" t="s">
        <v>311</v>
      </c>
      <c r="D64" s="77"/>
      <c r="E64" s="77"/>
      <c r="F64" s="77"/>
      <c r="G64" s="5" t="s">
        <v>492</v>
      </c>
      <c r="H64" s="5" t="s">
        <v>492</v>
      </c>
      <c r="I64" s="5" t="s">
        <v>492</v>
      </c>
      <c r="J64" s="47">
        <f>SUM(J65:J85)</f>
        <v>0</v>
      </c>
      <c r="K64" s="47">
        <f>SUM(K65:K85)</f>
        <v>0</v>
      </c>
      <c r="L64" s="47">
        <f>SUM(L65:L85)</f>
        <v>0</v>
      </c>
      <c r="M64" s="13" t="s">
        <v>356</v>
      </c>
      <c r="AI64" s="1" t="s">
        <v>356</v>
      </c>
      <c r="AS64" s="47">
        <f>SUM(AJ65:AJ85)</f>
        <v>0</v>
      </c>
      <c r="AT64" s="47">
        <f>SUM(AK65:AK85)</f>
        <v>0</v>
      </c>
      <c r="AU64" s="47">
        <f>SUM(AL65:AL85)</f>
        <v>0</v>
      </c>
    </row>
    <row r="65" spans="1:64" ht="15" customHeight="1">
      <c r="A65" s="33" t="s">
        <v>523</v>
      </c>
      <c r="B65" s="6" t="s">
        <v>495</v>
      </c>
      <c r="C65" s="62" t="s">
        <v>411</v>
      </c>
      <c r="D65" s="62"/>
      <c r="E65" s="62"/>
      <c r="F65" s="62"/>
      <c r="G65" s="6" t="s">
        <v>182</v>
      </c>
      <c r="H65" s="26">
        <v>2</v>
      </c>
      <c r="I65" s="26">
        <v>0</v>
      </c>
      <c r="J65" s="26">
        <f aca="true" t="shared" si="22" ref="J65:J85">H65*AO65</f>
        <v>0</v>
      </c>
      <c r="K65" s="26">
        <f aca="true" t="shared" si="23" ref="K65:K85">H65*AP65</f>
        <v>0</v>
      </c>
      <c r="L65" s="26">
        <f aca="true" t="shared" si="24" ref="L65:L85">H65*I65</f>
        <v>0</v>
      </c>
      <c r="M65" s="2" t="s">
        <v>197</v>
      </c>
      <c r="Z65" s="26">
        <f aca="true" t="shared" si="25" ref="Z65:Z85">IF(AQ65="5",BJ65,0)</f>
        <v>0</v>
      </c>
      <c r="AB65" s="26">
        <f aca="true" t="shared" si="26" ref="AB65:AB85">IF(AQ65="1",BH65,0)</f>
        <v>0</v>
      </c>
      <c r="AC65" s="26">
        <f aca="true" t="shared" si="27" ref="AC65:AC85">IF(AQ65="1",BI65,0)</f>
        <v>0</v>
      </c>
      <c r="AD65" s="26">
        <f aca="true" t="shared" si="28" ref="AD65:AD85">IF(AQ65="7",BH65,0)</f>
        <v>0</v>
      </c>
      <c r="AE65" s="26">
        <f aca="true" t="shared" si="29" ref="AE65:AE85">IF(AQ65="7",BI65,0)</f>
        <v>0</v>
      </c>
      <c r="AF65" s="26">
        <f aca="true" t="shared" si="30" ref="AF65:AF85">IF(AQ65="2",BH65,0)</f>
        <v>0</v>
      </c>
      <c r="AG65" s="26">
        <f aca="true" t="shared" si="31" ref="AG65:AG85">IF(AQ65="2",BI65,0)</f>
        <v>0</v>
      </c>
      <c r="AH65" s="26">
        <f aca="true" t="shared" si="32" ref="AH65:AH85">IF(AQ65="0",BJ65,0)</f>
        <v>0</v>
      </c>
      <c r="AI65" s="1" t="s">
        <v>356</v>
      </c>
      <c r="AJ65" s="26">
        <f aca="true" t="shared" si="33" ref="AJ65:AJ85">IF(AN65=0,L65,0)</f>
        <v>0</v>
      </c>
      <c r="AK65" s="26">
        <f aca="true" t="shared" si="34" ref="AK65:AK85">IF(AN65=15,L65,0)</f>
        <v>0</v>
      </c>
      <c r="AL65" s="26">
        <f aca="true" t="shared" si="35" ref="AL65:AL85">IF(AN65=21,L65,0)</f>
        <v>0</v>
      </c>
      <c r="AN65" s="26">
        <v>21</v>
      </c>
      <c r="AO65" s="26">
        <f>I65*0.861211393007829</f>
        <v>0</v>
      </c>
      <c r="AP65" s="26">
        <f>I65*(1-0.861211393007829)</f>
        <v>0</v>
      </c>
      <c r="AQ65" s="28" t="s">
        <v>539</v>
      </c>
      <c r="AV65" s="26">
        <f aca="true" t="shared" si="36" ref="AV65:AV85">AW65+AX65</f>
        <v>0</v>
      </c>
      <c r="AW65" s="26">
        <f aca="true" t="shared" si="37" ref="AW65:AW85">H65*AO65</f>
        <v>0</v>
      </c>
      <c r="AX65" s="26">
        <f aca="true" t="shared" si="38" ref="AX65:AX85">H65*AP65</f>
        <v>0</v>
      </c>
      <c r="AY65" s="28" t="s">
        <v>237</v>
      </c>
      <c r="AZ65" s="28" t="s">
        <v>31</v>
      </c>
      <c r="BA65" s="1" t="s">
        <v>397</v>
      </c>
      <c r="BC65" s="26">
        <f aca="true" t="shared" si="39" ref="BC65:BC85">AW65+AX65</f>
        <v>0</v>
      </c>
      <c r="BD65" s="26">
        <f aca="true" t="shared" si="40" ref="BD65:BD85">I65/(100-BE65)*100</f>
        <v>0</v>
      </c>
      <c r="BE65" s="26">
        <v>0</v>
      </c>
      <c r="BF65" s="26">
        <f>65</f>
        <v>65</v>
      </c>
      <c r="BH65" s="26">
        <f aca="true" t="shared" si="41" ref="BH65:BH85">H65*AO65</f>
        <v>0</v>
      </c>
      <c r="BI65" s="26">
        <f aca="true" t="shared" si="42" ref="BI65:BI85">H65*AP65</f>
        <v>0</v>
      </c>
      <c r="BJ65" s="26">
        <f aca="true" t="shared" si="43" ref="BJ65:BJ85">H65*I65</f>
        <v>0</v>
      </c>
      <c r="BK65" s="26"/>
      <c r="BL65" s="26">
        <v>725</v>
      </c>
    </row>
    <row r="66" spans="1:64" ht="15" customHeight="1">
      <c r="A66" s="33" t="s">
        <v>580</v>
      </c>
      <c r="B66" s="6" t="s">
        <v>322</v>
      </c>
      <c r="C66" s="62" t="s">
        <v>168</v>
      </c>
      <c r="D66" s="62"/>
      <c r="E66" s="62"/>
      <c r="F66" s="62"/>
      <c r="G66" s="6" t="s">
        <v>182</v>
      </c>
      <c r="H66" s="26">
        <v>1</v>
      </c>
      <c r="I66" s="26">
        <v>0</v>
      </c>
      <c r="J66" s="26">
        <f t="shared" si="22"/>
        <v>0</v>
      </c>
      <c r="K66" s="26">
        <f t="shared" si="23"/>
        <v>0</v>
      </c>
      <c r="L66" s="26">
        <f t="shared" si="24"/>
        <v>0</v>
      </c>
      <c r="M66" s="2" t="s">
        <v>197</v>
      </c>
      <c r="Z66" s="26">
        <f t="shared" si="25"/>
        <v>0</v>
      </c>
      <c r="AB66" s="26">
        <f t="shared" si="26"/>
        <v>0</v>
      </c>
      <c r="AC66" s="26">
        <f t="shared" si="27"/>
        <v>0</v>
      </c>
      <c r="AD66" s="26">
        <f t="shared" si="28"/>
        <v>0</v>
      </c>
      <c r="AE66" s="26">
        <f t="shared" si="29"/>
        <v>0</v>
      </c>
      <c r="AF66" s="26">
        <f t="shared" si="30"/>
        <v>0</v>
      </c>
      <c r="AG66" s="26">
        <f t="shared" si="31"/>
        <v>0</v>
      </c>
      <c r="AH66" s="26">
        <f t="shared" si="32"/>
        <v>0</v>
      </c>
      <c r="AI66" s="1" t="s">
        <v>356</v>
      </c>
      <c r="AJ66" s="26">
        <f t="shared" si="33"/>
        <v>0</v>
      </c>
      <c r="AK66" s="26">
        <f t="shared" si="34"/>
        <v>0</v>
      </c>
      <c r="AL66" s="26">
        <f t="shared" si="35"/>
        <v>0</v>
      </c>
      <c r="AN66" s="26">
        <v>21</v>
      </c>
      <c r="AO66" s="26">
        <f>I66*0.825932914046122</f>
        <v>0</v>
      </c>
      <c r="AP66" s="26">
        <f>I66*(1-0.825932914046122)</f>
        <v>0</v>
      </c>
      <c r="AQ66" s="28" t="s">
        <v>539</v>
      </c>
      <c r="AV66" s="26">
        <f t="shared" si="36"/>
        <v>0</v>
      </c>
      <c r="AW66" s="26">
        <f t="shared" si="37"/>
        <v>0</v>
      </c>
      <c r="AX66" s="26">
        <f t="shared" si="38"/>
        <v>0</v>
      </c>
      <c r="AY66" s="28" t="s">
        <v>237</v>
      </c>
      <c r="AZ66" s="28" t="s">
        <v>31</v>
      </c>
      <c r="BA66" s="1" t="s">
        <v>397</v>
      </c>
      <c r="BC66" s="26">
        <f t="shared" si="39"/>
        <v>0</v>
      </c>
      <c r="BD66" s="26">
        <f t="shared" si="40"/>
        <v>0</v>
      </c>
      <c r="BE66" s="26">
        <v>0</v>
      </c>
      <c r="BF66" s="26">
        <f>66</f>
        <v>66</v>
      </c>
      <c r="BH66" s="26">
        <f t="shared" si="41"/>
        <v>0</v>
      </c>
      <c r="BI66" s="26">
        <f t="shared" si="42"/>
        <v>0</v>
      </c>
      <c r="BJ66" s="26">
        <f t="shared" si="43"/>
        <v>0</v>
      </c>
      <c r="BK66" s="26"/>
      <c r="BL66" s="26">
        <v>725</v>
      </c>
    </row>
    <row r="67" spans="1:64" ht="15" customHeight="1">
      <c r="A67" s="33" t="s">
        <v>37</v>
      </c>
      <c r="B67" s="6" t="s">
        <v>176</v>
      </c>
      <c r="C67" s="62" t="s">
        <v>497</v>
      </c>
      <c r="D67" s="62"/>
      <c r="E67" s="62"/>
      <c r="F67" s="62"/>
      <c r="G67" s="6" t="s">
        <v>182</v>
      </c>
      <c r="H67" s="26">
        <v>1</v>
      </c>
      <c r="I67" s="26">
        <v>0</v>
      </c>
      <c r="J67" s="26">
        <f t="shared" si="22"/>
        <v>0</v>
      </c>
      <c r="K67" s="26">
        <f t="shared" si="23"/>
        <v>0</v>
      </c>
      <c r="L67" s="26">
        <f t="shared" si="24"/>
        <v>0</v>
      </c>
      <c r="M67" s="2" t="s">
        <v>197</v>
      </c>
      <c r="Z67" s="26">
        <f t="shared" si="25"/>
        <v>0</v>
      </c>
      <c r="AB67" s="26">
        <f t="shared" si="26"/>
        <v>0</v>
      </c>
      <c r="AC67" s="26">
        <f t="shared" si="27"/>
        <v>0</v>
      </c>
      <c r="AD67" s="26">
        <f t="shared" si="28"/>
        <v>0</v>
      </c>
      <c r="AE67" s="26">
        <f t="shared" si="29"/>
        <v>0</v>
      </c>
      <c r="AF67" s="26">
        <f t="shared" si="30"/>
        <v>0</v>
      </c>
      <c r="AG67" s="26">
        <f t="shared" si="31"/>
        <v>0</v>
      </c>
      <c r="AH67" s="26">
        <f t="shared" si="32"/>
        <v>0</v>
      </c>
      <c r="AI67" s="1" t="s">
        <v>356</v>
      </c>
      <c r="AJ67" s="26">
        <f t="shared" si="33"/>
        <v>0</v>
      </c>
      <c r="AK67" s="26">
        <f t="shared" si="34"/>
        <v>0</v>
      </c>
      <c r="AL67" s="26">
        <f t="shared" si="35"/>
        <v>0</v>
      </c>
      <c r="AN67" s="26">
        <v>21</v>
      </c>
      <c r="AO67" s="26">
        <f>I67*0.325393450507379</f>
        <v>0</v>
      </c>
      <c r="AP67" s="26">
        <f>I67*(1-0.325393450507379)</f>
        <v>0</v>
      </c>
      <c r="AQ67" s="28" t="s">
        <v>539</v>
      </c>
      <c r="AV67" s="26">
        <f t="shared" si="36"/>
        <v>0</v>
      </c>
      <c r="AW67" s="26">
        <f t="shared" si="37"/>
        <v>0</v>
      </c>
      <c r="AX67" s="26">
        <f t="shared" si="38"/>
        <v>0</v>
      </c>
      <c r="AY67" s="28" t="s">
        <v>237</v>
      </c>
      <c r="AZ67" s="28" t="s">
        <v>31</v>
      </c>
      <c r="BA67" s="1" t="s">
        <v>397</v>
      </c>
      <c r="BC67" s="26">
        <f t="shared" si="39"/>
        <v>0</v>
      </c>
      <c r="BD67" s="26">
        <f t="shared" si="40"/>
        <v>0</v>
      </c>
      <c r="BE67" s="26">
        <v>0</v>
      </c>
      <c r="BF67" s="26">
        <f>67</f>
        <v>67</v>
      </c>
      <c r="BH67" s="26">
        <f t="shared" si="41"/>
        <v>0</v>
      </c>
      <c r="BI67" s="26">
        <f t="shared" si="42"/>
        <v>0</v>
      </c>
      <c r="BJ67" s="26">
        <f t="shared" si="43"/>
        <v>0</v>
      </c>
      <c r="BK67" s="26"/>
      <c r="BL67" s="26">
        <v>725</v>
      </c>
    </row>
    <row r="68" spans="1:64" ht="15" customHeight="1">
      <c r="A68" s="33" t="s">
        <v>335</v>
      </c>
      <c r="B68" s="6" t="s">
        <v>504</v>
      </c>
      <c r="C68" s="62" t="s">
        <v>524</v>
      </c>
      <c r="D68" s="62"/>
      <c r="E68" s="62"/>
      <c r="F68" s="62"/>
      <c r="G68" s="6" t="s">
        <v>182</v>
      </c>
      <c r="H68" s="26">
        <v>1</v>
      </c>
      <c r="I68" s="26">
        <v>0</v>
      </c>
      <c r="J68" s="26">
        <f t="shared" si="22"/>
        <v>0</v>
      </c>
      <c r="K68" s="26">
        <f t="shared" si="23"/>
        <v>0</v>
      </c>
      <c r="L68" s="26">
        <f t="shared" si="24"/>
        <v>0</v>
      </c>
      <c r="M68" s="2" t="s">
        <v>197</v>
      </c>
      <c r="Z68" s="26">
        <f t="shared" si="25"/>
        <v>0</v>
      </c>
      <c r="AB68" s="26">
        <f t="shared" si="26"/>
        <v>0</v>
      </c>
      <c r="AC68" s="26">
        <f t="shared" si="27"/>
        <v>0</v>
      </c>
      <c r="AD68" s="26">
        <f t="shared" si="28"/>
        <v>0</v>
      </c>
      <c r="AE68" s="26">
        <f t="shared" si="29"/>
        <v>0</v>
      </c>
      <c r="AF68" s="26">
        <f t="shared" si="30"/>
        <v>0</v>
      </c>
      <c r="AG68" s="26">
        <f t="shared" si="31"/>
        <v>0</v>
      </c>
      <c r="AH68" s="26">
        <f t="shared" si="32"/>
        <v>0</v>
      </c>
      <c r="AI68" s="1" t="s">
        <v>356</v>
      </c>
      <c r="AJ68" s="26">
        <f t="shared" si="33"/>
        <v>0</v>
      </c>
      <c r="AK68" s="26">
        <f t="shared" si="34"/>
        <v>0</v>
      </c>
      <c r="AL68" s="26">
        <f t="shared" si="35"/>
        <v>0</v>
      </c>
      <c r="AN68" s="26">
        <v>21</v>
      </c>
      <c r="AO68" s="26">
        <f>I68*0.0494693619709413</f>
        <v>0</v>
      </c>
      <c r="AP68" s="26">
        <f>I68*(1-0.0494693619709413)</f>
        <v>0</v>
      </c>
      <c r="AQ68" s="28" t="s">
        <v>539</v>
      </c>
      <c r="AV68" s="26">
        <f t="shared" si="36"/>
        <v>0</v>
      </c>
      <c r="AW68" s="26">
        <f t="shared" si="37"/>
        <v>0</v>
      </c>
      <c r="AX68" s="26">
        <f t="shared" si="38"/>
        <v>0</v>
      </c>
      <c r="AY68" s="28" t="s">
        <v>237</v>
      </c>
      <c r="AZ68" s="28" t="s">
        <v>31</v>
      </c>
      <c r="BA68" s="1" t="s">
        <v>397</v>
      </c>
      <c r="BC68" s="26">
        <f t="shared" si="39"/>
        <v>0</v>
      </c>
      <c r="BD68" s="26">
        <f t="shared" si="40"/>
        <v>0</v>
      </c>
      <c r="BE68" s="26">
        <v>0</v>
      </c>
      <c r="BF68" s="26">
        <f>68</f>
        <v>68</v>
      </c>
      <c r="BH68" s="26">
        <f t="shared" si="41"/>
        <v>0</v>
      </c>
      <c r="BI68" s="26">
        <f t="shared" si="42"/>
        <v>0</v>
      </c>
      <c r="BJ68" s="26">
        <f t="shared" si="43"/>
        <v>0</v>
      </c>
      <c r="BK68" s="26"/>
      <c r="BL68" s="26">
        <v>725</v>
      </c>
    </row>
    <row r="69" spans="1:64" ht="15" customHeight="1">
      <c r="A69" s="33" t="s">
        <v>310</v>
      </c>
      <c r="B69" s="6" t="s">
        <v>426</v>
      </c>
      <c r="C69" s="62" t="s">
        <v>447</v>
      </c>
      <c r="D69" s="62"/>
      <c r="E69" s="62"/>
      <c r="F69" s="62"/>
      <c r="G69" s="6" t="s">
        <v>141</v>
      </c>
      <c r="H69" s="26">
        <v>1</v>
      </c>
      <c r="I69" s="26">
        <v>0</v>
      </c>
      <c r="J69" s="26">
        <f t="shared" si="22"/>
        <v>0</v>
      </c>
      <c r="K69" s="26">
        <f t="shared" si="23"/>
        <v>0</v>
      </c>
      <c r="L69" s="26">
        <f t="shared" si="24"/>
        <v>0</v>
      </c>
      <c r="M69" s="2" t="s">
        <v>197</v>
      </c>
      <c r="Z69" s="26">
        <f t="shared" si="25"/>
        <v>0</v>
      </c>
      <c r="AB69" s="26">
        <f t="shared" si="26"/>
        <v>0</v>
      </c>
      <c r="AC69" s="26">
        <f t="shared" si="27"/>
        <v>0</v>
      </c>
      <c r="AD69" s="26">
        <f t="shared" si="28"/>
        <v>0</v>
      </c>
      <c r="AE69" s="26">
        <f t="shared" si="29"/>
        <v>0</v>
      </c>
      <c r="AF69" s="26">
        <f t="shared" si="30"/>
        <v>0</v>
      </c>
      <c r="AG69" s="26">
        <f t="shared" si="31"/>
        <v>0</v>
      </c>
      <c r="AH69" s="26">
        <f t="shared" si="32"/>
        <v>0</v>
      </c>
      <c r="AI69" s="1" t="s">
        <v>356</v>
      </c>
      <c r="AJ69" s="26">
        <f t="shared" si="33"/>
        <v>0</v>
      </c>
      <c r="AK69" s="26">
        <f t="shared" si="34"/>
        <v>0</v>
      </c>
      <c r="AL69" s="26">
        <f t="shared" si="35"/>
        <v>0</v>
      </c>
      <c r="AN69" s="26">
        <v>21</v>
      </c>
      <c r="AO69" s="26">
        <f>I69*1</f>
        <v>0</v>
      </c>
      <c r="AP69" s="26">
        <f>I69*(1-1)</f>
        <v>0</v>
      </c>
      <c r="AQ69" s="28" t="s">
        <v>539</v>
      </c>
      <c r="AV69" s="26">
        <f t="shared" si="36"/>
        <v>0</v>
      </c>
      <c r="AW69" s="26">
        <f t="shared" si="37"/>
        <v>0</v>
      </c>
      <c r="AX69" s="26">
        <f t="shared" si="38"/>
        <v>0</v>
      </c>
      <c r="AY69" s="28" t="s">
        <v>237</v>
      </c>
      <c r="AZ69" s="28" t="s">
        <v>31</v>
      </c>
      <c r="BA69" s="1" t="s">
        <v>397</v>
      </c>
      <c r="BC69" s="26">
        <f t="shared" si="39"/>
        <v>0</v>
      </c>
      <c r="BD69" s="26">
        <f t="shared" si="40"/>
        <v>0</v>
      </c>
      <c r="BE69" s="26">
        <v>0</v>
      </c>
      <c r="BF69" s="26">
        <f>69</f>
        <v>69</v>
      </c>
      <c r="BH69" s="26">
        <f t="shared" si="41"/>
        <v>0</v>
      </c>
      <c r="BI69" s="26">
        <f t="shared" si="42"/>
        <v>0</v>
      </c>
      <c r="BJ69" s="26">
        <f t="shared" si="43"/>
        <v>0</v>
      </c>
      <c r="BK69" s="26"/>
      <c r="BL69" s="26">
        <v>725</v>
      </c>
    </row>
    <row r="70" spans="1:64" ht="15" customHeight="1">
      <c r="A70" s="33" t="s">
        <v>443</v>
      </c>
      <c r="B70" s="6" t="s">
        <v>164</v>
      </c>
      <c r="C70" s="62" t="s">
        <v>403</v>
      </c>
      <c r="D70" s="62"/>
      <c r="E70" s="62"/>
      <c r="F70" s="62"/>
      <c r="G70" s="6" t="s">
        <v>182</v>
      </c>
      <c r="H70" s="26">
        <v>2</v>
      </c>
      <c r="I70" s="26">
        <v>0</v>
      </c>
      <c r="J70" s="26">
        <f t="shared" si="22"/>
        <v>0</v>
      </c>
      <c r="K70" s="26">
        <f t="shared" si="23"/>
        <v>0</v>
      </c>
      <c r="L70" s="26">
        <f t="shared" si="24"/>
        <v>0</v>
      </c>
      <c r="M70" s="2" t="s">
        <v>197</v>
      </c>
      <c r="Z70" s="26">
        <f t="shared" si="25"/>
        <v>0</v>
      </c>
      <c r="AB70" s="26">
        <f t="shared" si="26"/>
        <v>0</v>
      </c>
      <c r="AC70" s="26">
        <f t="shared" si="27"/>
        <v>0</v>
      </c>
      <c r="AD70" s="26">
        <f t="shared" si="28"/>
        <v>0</v>
      </c>
      <c r="AE70" s="26">
        <f t="shared" si="29"/>
        <v>0</v>
      </c>
      <c r="AF70" s="26">
        <f t="shared" si="30"/>
        <v>0</v>
      </c>
      <c r="AG70" s="26">
        <f t="shared" si="31"/>
        <v>0</v>
      </c>
      <c r="AH70" s="26">
        <f t="shared" si="32"/>
        <v>0</v>
      </c>
      <c r="AI70" s="1" t="s">
        <v>356</v>
      </c>
      <c r="AJ70" s="26">
        <f t="shared" si="33"/>
        <v>0</v>
      </c>
      <c r="AK70" s="26">
        <f t="shared" si="34"/>
        <v>0</v>
      </c>
      <c r="AL70" s="26">
        <f t="shared" si="35"/>
        <v>0</v>
      </c>
      <c r="AN70" s="26">
        <v>21</v>
      </c>
      <c r="AO70" s="26">
        <f>I70*0.122762148337596</f>
        <v>0</v>
      </c>
      <c r="AP70" s="26">
        <f>I70*(1-0.122762148337596)</f>
        <v>0</v>
      </c>
      <c r="AQ70" s="28" t="s">
        <v>539</v>
      </c>
      <c r="AV70" s="26">
        <f t="shared" si="36"/>
        <v>0</v>
      </c>
      <c r="AW70" s="26">
        <f t="shared" si="37"/>
        <v>0</v>
      </c>
      <c r="AX70" s="26">
        <f t="shared" si="38"/>
        <v>0</v>
      </c>
      <c r="AY70" s="28" t="s">
        <v>237</v>
      </c>
      <c r="AZ70" s="28" t="s">
        <v>31</v>
      </c>
      <c r="BA70" s="1" t="s">
        <v>397</v>
      </c>
      <c r="BC70" s="26">
        <f t="shared" si="39"/>
        <v>0</v>
      </c>
      <c r="BD70" s="26">
        <f t="shared" si="40"/>
        <v>0</v>
      </c>
      <c r="BE70" s="26">
        <v>0</v>
      </c>
      <c r="BF70" s="26">
        <f>70</f>
        <v>70</v>
      </c>
      <c r="BH70" s="26">
        <f t="shared" si="41"/>
        <v>0</v>
      </c>
      <c r="BI70" s="26">
        <f t="shared" si="42"/>
        <v>0</v>
      </c>
      <c r="BJ70" s="26">
        <f t="shared" si="43"/>
        <v>0</v>
      </c>
      <c r="BK70" s="26"/>
      <c r="BL70" s="26">
        <v>725</v>
      </c>
    </row>
    <row r="71" spans="1:64" ht="15" customHeight="1">
      <c r="A71" s="33" t="s">
        <v>123</v>
      </c>
      <c r="B71" s="6" t="s">
        <v>138</v>
      </c>
      <c r="C71" s="62" t="s">
        <v>12</v>
      </c>
      <c r="D71" s="62"/>
      <c r="E71" s="62"/>
      <c r="F71" s="62"/>
      <c r="G71" s="6" t="s">
        <v>141</v>
      </c>
      <c r="H71" s="26">
        <v>1</v>
      </c>
      <c r="I71" s="26">
        <v>0</v>
      </c>
      <c r="J71" s="26">
        <f t="shared" si="22"/>
        <v>0</v>
      </c>
      <c r="K71" s="26">
        <f t="shared" si="23"/>
        <v>0</v>
      </c>
      <c r="L71" s="26">
        <f t="shared" si="24"/>
        <v>0</v>
      </c>
      <c r="M71" s="2" t="s">
        <v>197</v>
      </c>
      <c r="Z71" s="26">
        <f t="shared" si="25"/>
        <v>0</v>
      </c>
      <c r="AB71" s="26">
        <f t="shared" si="26"/>
        <v>0</v>
      </c>
      <c r="AC71" s="26">
        <f t="shared" si="27"/>
        <v>0</v>
      </c>
      <c r="AD71" s="26">
        <f t="shared" si="28"/>
        <v>0</v>
      </c>
      <c r="AE71" s="26">
        <f t="shared" si="29"/>
        <v>0</v>
      </c>
      <c r="AF71" s="26">
        <f t="shared" si="30"/>
        <v>0</v>
      </c>
      <c r="AG71" s="26">
        <f t="shared" si="31"/>
        <v>0</v>
      </c>
      <c r="AH71" s="26">
        <f t="shared" si="32"/>
        <v>0</v>
      </c>
      <c r="AI71" s="1" t="s">
        <v>356</v>
      </c>
      <c r="AJ71" s="26">
        <f t="shared" si="33"/>
        <v>0</v>
      </c>
      <c r="AK71" s="26">
        <f t="shared" si="34"/>
        <v>0</v>
      </c>
      <c r="AL71" s="26">
        <f t="shared" si="35"/>
        <v>0</v>
      </c>
      <c r="AN71" s="26">
        <v>21</v>
      </c>
      <c r="AO71" s="26">
        <f>I71*1</f>
        <v>0</v>
      </c>
      <c r="AP71" s="26">
        <f>I71*(1-1)</f>
        <v>0</v>
      </c>
      <c r="AQ71" s="28" t="s">
        <v>539</v>
      </c>
      <c r="AV71" s="26">
        <f t="shared" si="36"/>
        <v>0</v>
      </c>
      <c r="AW71" s="26">
        <f t="shared" si="37"/>
        <v>0</v>
      </c>
      <c r="AX71" s="26">
        <f t="shared" si="38"/>
        <v>0</v>
      </c>
      <c r="AY71" s="28" t="s">
        <v>237</v>
      </c>
      <c r="AZ71" s="28" t="s">
        <v>31</v>
      </c>
      <c r="BA71" s="1" t="s">
        <v>397</v>
      </c>
      <c r="BC71" s="26">
        <f t="shared" si="39"/>
        <v>0</v>
      </c>
      <c r="BD71" s="26">
        <f t="shared" si="40"/>
        <v>0</v>
      </c>
      <c r="BE71" s="26">
        <v>0</v>
      </c>
      <c r="BF71" s="26">
        <f>71</f>
        <v>71</v>
      </c>
      <c r="BH71" s="26">
        <f t="shared" si="41"/>
        <v>0</v>
      </c>
      <c r="BI71" s="26">
        <f t="shared" si="42"/>
        <v>0</v>
      </c>
      <c r="BJ71" s="26">
        <f t="shared" si="43"/>
        <v>0</v>
      </c>
      <c r="BK71" s="26"/>
      <c r="BL71" s="26">
        <v>725</v>
      </c>
    </row>
    <row r="72" spans="1:64" ht="15" customHeight="1">
      <c r="A72" s="33" t="s">
        <v>595</v>
      </c>
      <c r="B72" s="6" t="s">
        <v>29</v>
      </c>
      <c r="C72" s="62" t="s">
        <v>302</v>
      </c>
      <c r="D72" s="62"/>
      <c r="E72" s="62"/>
      <c r="F72" s="62"/>
      <c r="G72" s="6" t="s">
        <v>141</v>
      </c>
      <c r="H72" s="26">
        <v>1</v>
      </c>
      <c r="I72" s="26">
        <v>0</v>
      </c>
      <c r="J72" s="26">
        <f t="shared" si="22"/>
        <v>0</v>
      </c>
      <c r="K72" s="26">
        <f t="shared" si="23"/>
        <v>0</v>
      </c>
      <c r="L72" s="26">
        <f t="shared" si="24"/>
        <v>0</v>
      </c>
      <c r="M72" s="2" t="s">
        <v>197</v>
      </c>
      <c r="Z72" s="26">
        <f t="shared" si="25"/>
        <v>0</v>
      </c>
      <c r="AB72" s="26">
        <f t="shared" si="26"/>
        <v>0</v>
      </c>
      <c r="AC72" s="26">
        <f t="shared" si="27"/>
        <v>0</v>
      </c>
      <c r="AD72" s="26">
        <f t="shared" si="28"/>
        <v>0</v>
      </c>
      <c r="AE72" s="26">
        <f t="shared" si="29"/>
        <v>0</v>
      </c>
      <c r="AF72" s="26">
        <f t="shared" si="30"/>
        <v>0</v>
      </c>
      <c r="AG72" s="26">
        <f t="shared" si="31"/>
        <v>0</v>
      </c>
      <c r="AH72" s="26">
        <f t="shared" si="32"/>
        <v>0</v>
      </c>
      <c r="AI72" s="1" t="s">
        <v>356</v>
      </c>
      <c r="AJ72" s="26">
        <f t="shared" si="33"/>
        <v>0</v>
      </c>
      <c r="AK72" s="26">
        <f t="shared" si="34"/>
        <v>0</v>
      </c>
      <c r="AL72" s="26">
        <f t="shared" si="35"/>
        <v>0</v>
      </c>
      <c r="AN72" s="26">
        <v>21</v>
      </c>
      <c r="AO72" s="26">
        <f>I72*1</f>
        <v>0</v>
      </c>
      <c r="AP72" s="26">
        <f>I72*(1-1)</f>
        <v>0</v>
      </c>
      <c r="AQ72" s="28" t="s">
        <v>539</v>
      </c>
      <c r="AV72" s="26">
        <f t="shared" si="36"/>
        <v>0</v>
      </c>
      <c r="AW72" s="26">
        <f t="shared" si="37"/>
        <v>0</v>
      </c>
      <c r="AX72" s="26">
        <f t="shared" si="38"/>
        <v>0</v>
      </c>
      <c r="AY72" s="28" t="s">
        <v>237</v>
      </c>
      <c r="AZ72" s="28" t="s">
        <v>31</v>
      </c>
      <c r="BA72" s="1" t="s">
        <v>397</v>
      </c>
      <c r="BC72" s="26">
        <f t="shared" si="39"/>
        <v>0</v>
      </c>
      <c r="BD72" s="26">
        <f t="shared" si="40"/>
        <v>0</v>
      </c>
      <c r="BE72" s="26">
        <v>0</v>
      </c>
      <c r="BF72" s="26">
        <f>72</f>
        <v>72</v>
      </c>
      <c r="BH72" s="26">
        <f t="shared" si="41"/>
        <v>0</v>
      </c>
      <c r="BI72" s="26">
        <f t="shared" si="42"/>
        <v>0</v>
      </c>
      <c r="BJ72" s="26">
        <f t="shared" si="43"/>
        <v>0</v>
      </c>
      <c r="BK72" s="26"/>
      <c r="BL72" s="26">
        <v>725</v>
      </c>
    </row>
    <row r="73" spans="1:64" ht="15" customHeight="1">
      <c r="A73" s="33" t="s">
        <v>475</v>
      </c>
      <c r="B73" s="6" t="s">
        <v>41</v>
      </c>
      <c r="C73" s="62" t="s">
        <v>594</v>
      </c>
      <c r="D73" s="62"/>
      <c r="E73" s="62"/>
      <c r="F73" s="62"/>
      <c r="G73" s="6" t="s">
        <v>182</v>
      </c>
      <c r="H73" s="26">
        <v>1</v>
      </c>
      <c r="I73" s="26">
        <v>0</v>
      </c>
      <c r="J73" s="26">
        <f t="shared" si="22"/>
        <v>0</v>
      </c>
      <c r="K73" s="26">
        <f t="shared" si="23"/>
        <v>0</v>
      </c>
      <c r="L73" s="26">
        <f t="shared" si="24"/>
        <v>0</v>
      </c>
      <c r="M73" s="2" t="s">
        <v>197</v>
      </c>
      <c r="Z73" s="26">
        <f t="shared" si="25"/>
        <v>0</v>
      </c>
      <c r="AB73" s="26">
        <f t="shared" si="26"/>
        <v>0</v>
      </c>
      <c r="AC73" s="26">
        <f t="shared" si="27"/>
        <v>0</v>
      </c>
      <c r="AD73" s="26">
        <f t="shared" si="28"/>
        <v>0</v>
      </c>
      <c r="AE73" s="26">
        <f t="shared" si="29"/>
        <v>0</v>
      </c>
      <c r="AF73" s="26">
        <f t="shared" si="30"/>
        <v>0</v>
      </c>
      <c r="AG73" s="26">
        <f t="shared" si="31"/>
        <v>0</v>
      </c>
      <c r="AH73" s="26">
        <f t="shared" si="32"/>
        <v>0</v>
      </c>
      <c r="AI73" s="1" t="s">
        <v>356</v>
      </c>
      <c r="AJ73" s="26">
        <f t="shared" si="33"/>
        <v>0</v>
      </c>
      <c r="AK73" s="26">
        <f t="shared" si="34"/>
        <v>0</v>
      </c>
      <c r="AL73" s="26">
        <f t="shared" si="35"/>
        <v>0</v>
      </c>
      <c r="AN73" s="26">
        <v>21</v>
      </c>
      <c r="AO73" s="26">
        <f>I73*0</f>
        <v>0</v>
      </c>
      <c r="AP73" s="26">
        <f>I73*(1-0)</f>
        <v>0</v>
      </c>
      <c r="AQ73" s="28" t="s">
        <v>539</v>
      </c>
      <c r="AV73" s="26">
        <f t="shared" si="36"/>
        <v>0</v>
      </c>
      <c r="AW73" s="26">
        <f t="shared" si="37"/>
        <v>0</v>
      </c>
      <c r="AX73" s="26">
        <f t="shared" si="38"/>
        <v>0</v>
      </c>
      <c r="AY73" s="28" t="s">
        <v>237</v>
      </c>
      <c r="AZ73" s="28" t="s">
        <v>31</v>
      </c>
      <c r="BA73" s="1" t="s">
        <v>397</v>
      </c>
      <c r="BC73" s="26">
        <f t="shared" si="39"/>
        <v>0</v>
      </c>
      <c r="BD73" s="26">
        <f t="shared" si="40"/>
        <v>0</v>
      </c>
      <c r="BE73" s="26">
        <v>0</v>
      </c>
      <c r="BF73" s="26">
        <f>73</f>
        <v>73</v>
      </c>
      <c r="BH73" s="26">
        <f t="shared" si="41"/>
        <v>0</v>
      </c>
      <c r="BI73" s="26">
        <f t="shared" si="42"/>
        <v>0</v>
      </c>
      <c r="BJ73" s="26">
        <f t="shared" si="43"/>
        <v>0</v>
      </c>
      <c r="BK73" s="26"/>
      <c r="BL73" s="26">
        <v>725</v>
      </c>
    </row>
    <row r="74" spans="1:64" ht="15" customHeight="1">
      <c r="A74" s="33" t="s">
        <v>306</v>
      </c>
      <c r="B74" s="6" t="s">
        <v>493</v>
      </c>
      <c r="C74" s="62" t="s">
        <v>194</v>
      </c>
      <c r="D74" s="62"/>
      <c r="E74" s="62"/>
      <c r="F74" s="62"/>
      <c r="G74" s="6" t="s">
        <v>182</v>
      </c>
      <c r="H74" s="26">
        <v>1</v>
      </c>
      <c r="I74" s="26">
        <v>0</v>
      </c>
      <c r="J74" s="26">
        <f t="shared" si="22"/>
        <v>0</v>
      </c>
      <c r="K74" s="26">
        <f t="shared" si="23"/>
        <v>0</v>
      </c>
      <c r="L74" s="26">
        <f t="shared" si="24"/>
        <v>0</v>
      </c>
      <c r="M74" s="2" t="s">
        <v>197</v>
      </c>
      <c r="Z74" s="26">
        <f t="shared" si="25"/>
        <v>0</v>
      </c>
      <c r="AB74" s="26">
        <f t="shared" si="26"/>
        <v>0</v>
      </c>
      <c r="AC74" s="26">
        <f t="shared" si="27"/>
        <v>0</v>
      </c>
      <c r="AD74" s="26">
        <f t="shared" si="28"/>
        <v>0</v>
      </c>
      <c r="AE74" s="26">
        <f t="shared" si="29"/>
        <v>0</v>
      </c>
      <c r="AF74" s="26">
        <f t="shared" si="30"/>
        <v>0</v>
      </c>
      <c r="AG74" s="26">
        <f t="shared" si="31"/>
        <v>0</v>
      </c>
      <c r="AH74" s="26">
        <f t="shared" si="32"/>
        <v>0</v>
      </c>
      <c r="AI74" s="1" t="s">
        <v>356</v>
      </c>
      <c r="AJ74" s="26">
        <f t="shared" si="33"/>
        <v>0</v>
      </c>
      <c r="AK74" s="26">
        <f t="shared" si="34"/>
        <v>0</v>
      </c>
      <c r="AL74" s="26">
        <f t="shared" si="35"/>
        <v>0</v>
      </c>
      <c r="AN74" s="26">
        <v>21</v>
      </c>
      <c r="AO74" s="26">
        <f>I74*0.877074909090909</f>
        <v>0</v>
      </c>
      <c r="AP74" s="26">
        <f>I74*(1-0.877074909090909)</f>
        <v>0</v>
      </c>
      <c r="AQ74" s="28" t="s">
        <v>539</v>
      </c>
      <c r="AV74" s="26">
        <f t="shared" si="36"/>
        <v>0</v>
      </c>
      <c r="AW74" s="26">
        <f t="shared" si="37"/>
        <v>0</v>
      </c>
      <c r="AX74" s="26">
        <f t="shared" si="38"/>
        <v>0</v>
      </c>
      <c r="AY74" s="28" t="s">
        <v>237</v>
      </c>
      <c r="AZ74" s="28" t="s">
        <v>31</v>
      </c>
      <c r="BA74" s="1" t="s">
        <v>397</v>
      </c>
      <c r="BC74" s="26">
        <f t="shared" si="39"/>
        <v>0</v>
      </c>
      <c r="BD74" s="26">
        <f t="shared" si="40"/>
        <v>0</v>
      </c>
      <c r="BE74" s="26">
        <v>0</v>
      </c>
      <c r="BF74" s="26">
        <f>74</f>
        <v>74</v>
      </c>
      <c r="BH74" s="26">
        <f t="shared" si="41"/>
        <v>0</v>
      </c>
      <c r="BI74" s="26">
        <f t="shared" si="42"/>
        <v>0</v>
      </c>
      <c r="BJ74" s="26">
        <f t="shared" si="43"/>
        <v>0</v>
      </c>
      <c r="BK74" s="26"/>
      <c r="BL74" s="26">
        <v>725</v>
      </c>
    </row>
    <row r="75" spans="1:64" ht="15" customHeight="1">
      <c r="A75" s="33" t="s">
        <v>526</v>
      </c>
      <c r="B75" s="6" t="s">
        <v>285</v>
      </c>
      <c r="C75" s="62" t="s">
        <v>114</v>
      </c>
      <c r="D75" s="62"/>
      <c r="E75" s="62"/>
      <c r="F75" s="62"/>
      <c r="G75" s="6" t="s">
        <v>182</v>
      </c>
      <c r="H75" s="26">
        <v>1</v>
      </c>
      <c r="I75" s="26">
        <v>0</v>
      </c>
      <c r="J75" s="26">
        <f t="shared" si="22"/>
        <v>0</v>
      </c>
      <c r="K75" s="26">
        <f t="shared" si="23"/>
        <v>0</v>
      </c>
      <c r="L75" s="26">
        <f t="shared" si="24"/>
        <v>0</v>
      </c>
      <c r="M75" s="2" t="s">
        <v>197</v>
      </c>
      <c r="Z75" s="26">
        <f t="shared" si="25"/>
        <v>0</v>
      </c>
      <c r="AB75" s="26">
        <f t="shared" si="26"/>
        <v>0</v>
      </c>
      <c r="AC75" s="26">
        <f t="shared" si="27"/>
        <v>0</v>
      </c>
      <c r="AD75" s="26">
        <f t="shared" si="28"/>
        <v>0</v>
      </c>
      <c r="AE75" s="26">
        <f t="shared" si="29"/>
        <v>0</v>
      </c>
      <c r="AF75" s="26">
        <f t="shared" si="30"/>
        <v>0</v>
      </c>
      <c r="AG75" s="26">
        <f t="shared" si="31"/>
        <v>0</v>
      </c>
      <c r="AH75" s="26">
        <f t="shared" si="32"/>
        <v>0</v>
      </c>
      <c r="AI75" s="1" t="s">
        <v>356</v>
      </c>
      <c r="AJ75" s="26">
        <f t="shared" si="33"/>
        <v>0</v>
      </c>
      <c r="AK75" s="26">
        <f t="shared" si="34"/>
        <v>0</v>
      </c>
      <c r="AL75" s="26">
        <f t="shared" si="35"/>
        <v>0</v>
      </c>
      <c r="AN75" s="26">
        <v>21</v>
      </c>
      <c r="AO75" s="26">
        <f>I75*0</f>
        <v>0</v>
      </c>
      <c r="AP75" s="26">
        <f>I75*(1-0)</f>
        <v>0</v>
      </c>
      <c r="AQ75" s="28" t="s">
        <v>539</v>
      </c>
      <c r="AV75" s="26">
        <f t="shared" si="36"/>
        <v>0</v>
      </c>
      <c r="AW75" s="26">
        <f t="shared" si="37"/>
        <v>0</v>
      </c>
      <c r="AX75" s="26">
        <f t="shared" si="38"/>
        <v>0</v>
      </c>
      <c r="AY75" s="28" t="s">
        <v>237</v>
      </c>
      <c r="AZ75" s="28" t="s">
        <v>31</v>
      </c>
      <c r="BA75" s="1" t="s">
        <v>397</v>
      </c>
      <c r="BC75" s="26">
        <f t="shared" si="39"/>
        <v>0</v>
      </c>
      <c r="BD75" s="26">
        <f t="shared" si="40"/>
        <v>0</v>
      </c>
      <c r="BE75" s="26">
        <v>0</v>
      </c>
      <c r="BF75" s="26">
        <f>75</f>
        <v>75</v>
      </c>
      <c r="BH75" s="26">
        <f t="shared" si="41"/>
        <v>0</v>
      </c>
      <c r="BI75" s="26">
        <f t="shared" si="42"/>
        <v>0</v>
      </c>
      <c r="BJ75" s="26">
        <f t="shared" si="43"/>
        <v>0</v>
      </c>
      <c r="BK75" s="26"/>
      <c r="BL75" s="26">
        <v>725</v>
      </c>
    </row>
    <row r="76" spans="1:64" ht="15" customHeight="1">
      <c r="A76" s="33" t="s">
        <v>314</v>
      </c>
      <c r="B76" s="6" t="s">
        <v>170</v>
      </c>
      <c r="C76" s="62" t="s">
        <v>350</v>
      </c>
      <c r="D76" s="62"/>
      <c r="E76" s="62"/>
      <c r="F76" s="62"/>
      <c r="G76" s="6" t="s">
        <v>141</v>
      </c>
      <c r="H76" s="26">
        <v>1</v>
      </c>
      <c r="I76" s="26">
        <v>0</v>
      </c>
      <c r="J76" s="26">
        <f t="shared" si="22"/>
        <v>0</v>
      </c>
      <c r="K76" s="26">
        <f t="shared" si="23"/>
        <v>0</v>
      </c>
      <c r="L76" s="26">
        <f t="shared" si="24"/>
        <v>0</v>
      </c>
      <c r="M76" s="2" t="s">
        <v>197</v>
      </c>
      <c r="Z76" s="26">
        <f t="shared" si="25"/>
        <v>0</v>
      </c>
      <c r="AB76" s="26">
        <f t="shared" si="26"/>
        <v>0</v>
      </c>
      <c r="AC76" s="26">
        <f t="shared" si="27"/>
        <v>0</v>
      </c>
      <c r="AD76" s="26">
        <f t="shared" si="28"/>
        <v>0</v>
      </c>
      <c r="AE76" s="26">
        <f t="shared" si="29"/>
        <v>0</v>
      </c>
      <c r="AF76" s="26">
        <f t="shared" si="30"/>
        <v>0</v>
      </c>
      <c r="AG76" s="26">
        <f t="shared" si="31"/>
        <v>0</v>
      </c>
      <c r="AH76" s="26">
        <f t="shared" si="32"/>
        <v>0</v>
      </c>
      <c r="AI76" s="1" t="s">
        <v>356</v>
      </c>
      <c r="AJ76" s="26">
        <f t="shared" si="33"/>
        <v>0</v>
      </c>
      <c r="AK76" s="26">
        <f t="shared" si="34"/>
        <v>0</v>
      </c>
      <c r="AL76" s="26">
        <f t="shared" si="35"/>
        <v>0</v>
      </c>
      <c r="AN76" s="26">
        <v>21</v>
      </c>
      <c r="AO76" s="26">
        <f>I76*1</f>
        <v>0</v>
      </c>
      <c r="AP76" s="26">
        <f>I76*(1-1)</f>
        <v>0</v>
      </c>
      <c r="AQ76" s="28" t="s">
        <v>539</v>
      </c>
      <c r="AV76" s="26">
        <f t="shared" si="36"/>
        <v>0</v>
      </c>
      <c r="AW76" s="26">
        <f t="shared" si="37"/>
        <v>0</v>
      </c>
      <c r="AX76" s="26">
        <f t="shared" si="38"/>
        <v>0</v>
      </c>
      <c r="AY76" s="28" t="s">
        <v>237</v>
      </c>
      <c r="AZ76" s="28" t="s">
        <v>31</v>
      </c>
      <c r="BA76" s="1" t="s">
        <v>397</v>
      </c>
      <c r="BC76" s="26">
        <f t="shared" si="39"/>
        <v>0</v>
      </c>
      <c r="BD76" s="26">
        <f t="shared" si="40"/>
        <v>0</v>
      </c>
      <c r="BE76" s="26">
        <v>0</v>
      </c>
      <c r="BF76" s="26">
        <f>76</f>
        <v>76</v>
      </c>
      <c r="BH76" s="26">
        <f t="shared" si="41"/>
        <v>0</v>
      </c>
      <c r="BI76" s="26">
        <f t="shared" si="42"/>
        <v>0</v>
      </c>
      <c r="BJ76" s="26">
        <f t="shared" si="43"/>
        <v>0</v>
      </c>
      <c r="BK76" s="26"/>
      <c r="BL76" s="26">
        <v>725</v>
      </c>
    </row>
    <row r="77" spans="1:64" ht="15" customHeight="1">
      <c r="A77" s="33" t="s">
        <v>334</v>
      </c>
      <c r="B77" s="6" t="s">
        <v>304</v>
      </c>
      <c r="C77" s="62" t="s">
        <v>90</v>
      </c>
      <c r="D77" s="62"/>
      <c r="E77" s="62"/>
      <c r="F77" s="62"/>
      <c r="G77" s="6" t="s">
        <v>182</v>
      </c>
      <c r="H77" s="26">
        <v>1</v>
      </c>
      <c r="I77" s="26">
        <v>0</v>
      </c>
      <c r="J77" s="26">
        <f t="shared" si="22"/>
        <v>0</v>
      </c>
      <c r="K77" s="26">
        <f t="shared" si="23"/>
        <v>0</v>
      </c>
      <c r="L77" s="26">
        <f t="shared" si="24"/>
        <v>0</v>
      </c>
      <c r="M77" s="2" t="s">
        <v>197</v>
      </c>
      <c r="Z77" s="26">
        <f t="shared" si="25"/>
        <v>0</v>
      </c>
      <c r="AB77" s="26">
        <f t="shared" si="26"/>
        <v>0</v>
      </c>
      <c r="AC77" s="26">
        <f t="shared" si="27"/>
        <v>0</v>
      </c>
      <c r="AD77" s="26">
        <f t="shared" si="28"/>
        <v>0</v>
      </c>
      <c r="AE77" s="26">
        <f t="shared" si="29"/>
        <v>0</v>
      </c>
      <c r="AF77" s="26">
        <f t="shared" si="30"/>
        <v>0</v>
      </c>
      <c r="AG77" s="26">
        <f t="shared" si="31"/>
        <v>0</v>
      </c>
      <c r="AH77" s="26">
        <f t="shared" si="32"/>
        <v>0</v>
      </c>
      <c r="AI77" s="1" t="s">
        <v>356</v>
      </c>
      <c r="AJ77" s="26">
        <f t="shared" si="33"/>
        <v>0</v>
      </c>
      <c r="AK77" s="26">
        <f t="shared" si="34"/>
        <v>0</v>
      </c>
      <c r="AL77" s="26">
        <f t="shared" si="35"/>
        <v>0</v>
      </c>
      <c r="AN77" s="26">
        <v>21</v>
      </c>
      <c r="AO77" s="26">
        <f>I77*0.79228527131783</f>
        <v>0</v>
      </c>
      <c r="AP77" s="26">
        <f>I77*(1-0.79228527131783)</f>
        <v>0</v>
      </c>
      <c r="AQ77" s="28" t="s">
        <v>539</v>
      </c>
      <c r="AV77" s="26">
        <f t="shared" si="36"/>
        <v>0</v>
      </c>
      <c r="AW77" s="26">
        <f t="shared" si="37"/>
        <v>0</v>
      </c>
      <c r="AX77" s="26">
        <f t="shared" si="38"/>
        <v>0</v>
      </c>
      <c r="AY77" s="28" t="s">
        <v>237</v>
      </c>
      <c r="AZ77" s="28" t="s">
        <v>31</v>
      </c>
      <c r="BA77" s="1" t="s">
        <v>397</v>
      </c>
      <c r="BC77" s="26">
        <f t="shared" si="39"/>
        <v>0</v>
      </c>
      <c r="BD77" s="26">
        <f t="shared" si="40"/>
        <v>0</v>
      </c>
      <c r="BE77" s="26">
        <v>0</v>
      </c>
      <c r="BF77" s="26">
        <f>77</f>
        <v>77</v>
      </c>
      <c r="BH77" s="26">
        <f t="shared" si="41"/>
        <v>0</v>
      </c>
      <c r="BI77" s="26">
        <f t="shared" si="42"/>
        <v>0</v>
      </c>
      <c r="BJ77" s="26">
        <f t="shared" si="43"/>
        <v>0</v>
      </c>
      <c r="BK77" s="26"/>
      <c r="BL77" s="26">
        <v>725</v>
      </c>
    </row>
    <row r="78" spans="1:64" ht="15" customHeight="1">
      <c r="A78" s="33" t="s">
        <v>187</v>
      </c>
      <c r="B78" s="6" t="s">
        <v>585</v>
      </c>
      <c r="C78" s="62" t="s">
        <v>473</v>
      </c>
      <c r="D78" s="62"/>
      <c r="E78" s="62"/>
      <c r="F78" s="62"/>
      <c r="G78" s="6" t="s">
        <v>182</v>
      </c>
      <c r="H78" s="26">
        <v>1</v>
      </c>
      <c r="I78" s="26">
        <v>0</v>
      </c>
      <c r="J78" s="26">
        <f t="shared" si="22"/>
        <v>0</v>
      </c>
      <c r="K78" s="26">
        <f t="shared" si="23"/>
        <v>0</v>
      </c>
      <c r="L78" s="26">
        <f t="shared" si="24"/>
        <v>0</v>
      </c>
      <c r="M78" s="2" t="s">
        <v>197</v>
      </c>
      <c r="Z78" s="26">
        <f t="shared" si="25"/>
        <v>0</v>
      </c>
      <c r="AB78" s="26">
        <f t="shared" si="26"/>
        <v>0</v>
      </c>
      <c r="AC78" s="26">
        <f t="shared" si="27"/>
        <v>0</v>
      </c>
      <c r="AD78" s="26">
        <f t="shared" si="28"/>
        <v>0</v>
      </c>
      <c r="AE78" s="26">
        <f t="shared" si="29"/>
        <v>0</v>
      </c>
      <c r="AF78" s="26">
        <f t="shared" si="30"/>
        <v>0</v>
      </c>
      <c r="AG78" s="26">
        <f t="shared" si="31"/>
        <v>0</v>
      </c>
      <c r="AH78" s="26">
        <f t="shared" si="32"/>
        <v>0</v>
      </c>
      <c r="AI78" s="1" t="s">
        <v>356</v>
      </c>
      <c r="AJ78" s="26">
        <f t="shared" si="33"/>
        <v>0</v>
      </c>
      <c r="AK78" s="26">
        <f t="shared" si="34"/>
        <v>0</v>
      </c>
      <c r="AL78" s="26">
        <f t="shared" si="35"/>
        <v>0</v>
      </c>
      <c r="AN78" s="26">
        <v>21</v>
      </c>
      <c r="AO78" s="26">
        <f>I78*0.659763299288446</f>
        <v>0</v>
      </c>
      <c r="AP78" s="26">
        <f>I78*(1-0.659763299288446)</f>
        <v>0</v>
      </c>
      <c r="AQ78" s="28" t="s">
        <v>539</v>
      </c>
      <c r="AV78" s="26">
        <f t="shared" si="36"/>
        <v>0</v>
      </c>
      <c r="AW78" s="26">
        <f t="shared" si="37"/>
        <v>0</v>
      </c>
      <c r="AX78" s="26">
        <f t="shared" si="38"/>
        <v>0</v>
      </c>
      <c r="AY78" s="28" t="s">
        <v>237</v>
      </c>
      <c r="AZ78" s="28" t="s">
        <v>31</v>
      </c>
      <c r="BA78" s="1" t="s">
        <v>397</v>
      </c>
      <c r="BC78" s="26">
        <f t="shared" si="39"/>
        <v>0</v>
      </c>
      <c r="BD78" s="26">
        <f t="shared" si="40"/>
        <v>0</v>
      </c>
      <c r="BE78" s="26">
        <v>0</v>
      </c>
      <c r="BF78" s="26">
        <f>78</f>
        <v>78</v>
      </c>
      <c r="BH78" s="26">
        <f t="shared" si="41"/>
        <v>0</v>
      </c>
      <c r="BI78" s="26">
        <f t="shared" si="42"/>
        <v>0</v>
      </c>
      <c r="BJ78" s="26">
        <f t="shared" si="43"/>
        <v>0</v>
      </c>
      <c r="BK78" s="26"/>
      <c r="BL78" s="26">
        <v>725</v>
      </c>
    </row>
    <row r="79" spans="1:64" ht="15" customHeight="1">
      <c r="A79" s="33" t="s">
        <v>529</v>
      </c>
      <c r="B79" s="6" t="s">
        <v>329</v>
      </c>
      <c r="C79" s="62" t="s">
        <v>538</v>
      </c>
      <c r="D79" s="62"/>
      <c r="E79" s="62"/>
      <c r="F79" s="62"/>
      <c r="G79" s="6" t="s">
        <v>182</v>
      </c>
      <c r="H79" s="26">
        <v>1</v>
      </c>
      <c r="I79" s="26">
        <v>0</v>
      </c>
      <c r="J79" s="26">
        <f t="shared" si="22"/>
        <v>0</v>
      </c>
      <c r="K79" s="26">
        <f t="shared" si="23"/>
        <v>0</v>
      </c>
      <c r="L79" s="26">
        <f t="shared" si="24"/>
        <v>0</v>
      </c>
      <c r="M79" s="2" t="s">
        <v>197</v>
      </c>
      <c r="Z79" s="26">
        <f t="shared" si="25"/>
        <v>0</v>
      </c>
      <c r="AB79" s="26">
        <f t="shared" si="26"/>
        <v>0</v>
      </c>
      <c r="AC79" s="26">
        <f t="shared" si="27"/>
        <v>0</v>
      </c>
      <c r="AD79" s="26">
        <f t="shared" si="28"/>
        <v>0</v>
      </c>
      <c r="AE79" s="26">
        <f t="shared" si="29"/>
        <v>0</v>
      </c>
      <c r="AF79" s="26">
        <f t="shared" si="30"/>
        <v>0</v>
      </c>
      <c r="AG79" s="26">
        <f t="shared" si="31"/>
        <v>0</v>
      </c>
      <c r="AH79" s="26">
        <f t="shared" si="32"/>
        <v>0</v>
      </c>
      <c r="AI79" s="1" t="s">
        <v>356</v>
      </c>
      <c r="AJ79" s="26">
        <f t="shared" si="33"/>
        <v>0</v>
      </c>
      <c r="AK79" s="26">
        <f t="shared" si="34"/>
        <v>0</v>
      </c>
      <c r="AL79" s="26">
        <f t="shared" si="35"/>
        <v>0</v>
      </c>
      <c r="AN79" s="26">
        <v>21</v>
      </c>
      <c r="AO79" s="26">
        <f>I79*0</f>
        <v>0</v>
      </c>
      <c r="AP79" s="26">
        <f>I79*(1-0)</f>
        <v>0</v>
      </c>
      <c r="AQ79" s="28" t="s">
        <v>539</v>
      </c>
      <c r="AV79" s="26">
        <f t="shared" si="36"/>
        <v>0</v>
      </c>
      <c r="AW79" s="26">
        <f t="shared" si="37"/>
        <v>0</v>
      </c>
      <c r="AX79" s="26">
        <f t="shared" si="38"/>
        <v>0</v>
      </c>
      <c r="AY79" s="28" t="s">
        <v>237</v>
      </c>
      <c r="AZ79" s="28" t="s">
        <v>31</v>
      </c>
      <c r="BA79" s="1" t="s">
        <v>397</v>
      </c>
      <c r="BC79" s="26">
        <f t="shared" si="39"/>
        <v>0</v>
      </c>
      <c r="BD79" s="26">
        <f t="shared" si="40"/>
        <v>0</v>
      </c>
      <c r="BE79" s="26">
        <v>0</v>
      </c>
      <c r="BF79" s="26">
        <f>79</f>
        <v>79</v>
      </c>
      <c r="BH79" s="26">
        <f t="shared" si="41"/>
        <v>0</v>
      </c>
      <c r="BI79" s="26">
        <f t="shared" si="42"/>
        <v>0</v>
      </c>
      <c r="BJ79" s="26">
        <f t="shared" si="43"/>
        <v>0</v>
      </c>
      <c r="BK79" s="26"/>
      <c r="BL79" s="26">
        <v>725</v>
      </c>
    </row>
    <row r="80" spans="1:64" ht="15" customHeight="1">
      <c r="A80" s="33" t="s">
        <v>106</v>
      </c>
      <c r="B80" s="6" t="s">
        <v>576</v>
      </c>
      <c r="C80" s="62" t="s">
        <v>390</v>
      </c>
      <c r="D80" s="62"/>
      <c r="E80" s="62"/>
      <c r="F80" s="62"/>
      <c r="G80" s="6" t="s">
        <v>182</v>
      </c>
      <c r="H80" s="26">
        <v>5</v>
      </c>
      <c r="I80" s="26">
        <v>0</v>
      </c>
      <c r="J80" s="26">
        <f t="shared" si="22"/>
        <v>0</v>
      </c>
      <c r="K80" s="26">
        <f t="shared" si="23"/>
        <v>0</v>
      </c>
      <c r="L80" s="26">
        <f t="shared" si="24"/>
        <v>0</v>
      </c>
      <c r="M80" s="2" t="s">
        <v>197</v>
      </c>
      <c r="Z80" s="26">
        <f t="shared" si="25"/>
        <v>0</v>
      </c>
      <c r="AB80" s="26">
        <f t="shared" si="26"/>
        <v>0</v>
      </c>
      <c r="AC80" s="26">
        <f t="shared" si="27"/>
        <v>0</v>
      </c>
      <c r="AD80" s="26">
        <f t="shared" si="28"/>
        <v>0</v>
      </c>
      <c r="AE80" s="26">
        <f t="shared" si="29"/>
        <v>0</v>
      </c>
      <c r="AF80" s="26">
        <f t="shared" si="30"/>
        <v>0</v>
      </c>
      <c r="AG80" s="26">
        <f t="shared" si="31"/>
        <v>0</v>
      </c>
      <c r="AH80" s="26">
        <f t="shared" si="32"/>
        <v>0</v>
      </c>
      <c r="AI80" s="1" t="s">
        <v>356</v>
      </c>
      <c r="AJ80" s="26">
        <f t="shared" si="33"/>
        <v>0</v>
      </c>
      <c r="AK80" s="26">
        <f t="shared" si="34"/>
        <v>0</v>
      </c>
      <c r="AL80" s="26">
        <f t="shared" si="35"/>
        <v>0</v>
      </c>
      <c r="AN80" s="26">
        <v>21</v>
      </c>
      <c r="AO80" s="26">
        <f>I80*0.523036437246964</f>
        <v>0</v>
      </c>
      <c r="AP80" s="26">
        <f>I80*(1-0.523036437246964)</f>
        <v>0</v>
      </c>
      <c r="AQ80" s="28" t="s">
        <v>539</v>
      </c>
      <c r="AV80" s="26">
        <f t="shared" si="36"/>
        <v>0</v>
      </c>
      <c r="AW80" s="26">
        <f t="shared" si="37"/>
        <v>0</v>
      </c>
      <c r="AX80" s="26">
        <f t="shared" si="38"/>
        <v>0</v>
      </c>
      <c r="AY80" s="28" t="s">
        <v>237</v>
      </c>
      <c r="AZ80" s="28" t="s">
        <v>31</v>
      </c>
      <c r="BA80" s="1" t="s">
        <v>397</v>
      </c>
      <c r="BC80" s="26">
        <f t="shared" si="39"/>
        <v>0</v>
      </c>
      <c r="BD80" s="26">
        <f t="shared" si="40"/>
        <v>0</v>
      </c>
      <c r="BE80" s="26">
        <v>0</v>
      </c>
      <c r="BF80" s="26">
        <f>80</f>
        <v>80</v>
      </c>
      <c r="BH80" s="26">
        <f t="shared" si="41"/>
        <v>0</v>
      </c>
      <c r="BI80" s="26">
        <f t="shared" si="42"/>
        <v>0</v>
      </c>
      <c r="BJ80" s="26">
        <f t="shared" si="43"/>
        <v>0</v>
      </c>
      <c r="BK80" s="26"/>
      <c r="BL80" s="26">
        <v>725</v>
      </c>
    </row>
    <row r="81" spans="1:64" ht="15" customHeight="1">
      <c r="A81" s="33" t="s">
        <v>173</v>
      </c>
      <c r="B81" s="6" t="s">
        <v>64</v>
      </c>
      <c r="C81" s="62" t="s">
        <v>51</v>
      </c>
      <c r="D81" s="62"/>
      <c r="E81" s="62"/>
      <c r="F81" s="62"/>
      <c r="G81" s="6" t="s">
        <v>141</v>
      </c>
      <c r="H81" s="26">
        <v>5</v>
      </c>
      <c r="I81" s="26">
        <v>0</v>
      </c>
      <c r="J81" s="26">
        <f t="shared" si="22"/>
        <v>0</v>
      </c>
      <c r="K81" s="26">
        <f t="shared" si="23"/>
        <v>0</v>
      </c>
      <c r="L81" s="26">
        <f t="shared" si="24"/>
        <v>0</v>
      </c>
      <c r="M81" s="2" t="s">
        <v>197</v>
      </c>
      <c r="Z81" s="26">
        <f t="shared" si="25"/>
        <v>0</v>
      </c>
      <c r="AB81" s="26">
        <f t="shared" si="26"/>
        <v>0</v>
      </c>
      <c r="AC81" s="26">
        <f t="shared" si="27"/>
        <v>0</v>
      </c>
      <c r="AD81" s="26">
        <f t="shared" si="28"/>
        <v>0</v>
      </c>
      <c r="AE81" s="26">
        <f t="shared" si="29"/>
        <v>0</v>
      </c>
      <c r="AF81" s="26">
        <f t="shared" si="30"/>
        <v>0</v>
      </c>
      <c r="AG81" s="26">
        <f t="shared" si="31"/>
        <v>0</v>
      </c>
      <c r="AH81" s="26">
        <f t="shared" si="32"/>
        <v>0</v>
      </c>
      <c r="AI81" s="1" t="s">
        <v>356</v>
      </c>
      <c r="AJ81" s="26">
        <f t="shared" si="33"/>
        <v>0</v>
      </c>
      <c r="AK81" s="26">
        <f t="shared" si="34"/>
        <v>0</v>
      </c>
      <c r="AL81" s="26">
        <f t="shared" si="35"/>
        <v>0</v>
      </c>
      <c r="AN81" s="26">
        <v>21</v>
      </c>
      <c r="AO81" s="26">
        <f>I81*1</f>
        <v>0</v>
      </c>
      <c r="AP81" s="26">
        <f>I81*(1-1)</f>
        <v>0</v>
      </c>
      <c r="AQ81" s="28" t="s">
        <v>539</v>
      </c>
      <c r="AV81" s="26">
        <f t="shared" si="36"/>
        <v>0</v>
      </c>
      <c r="AW81" s="26">
        <f t="shared" si="37"/>
        <v>0</v>
      </c>
      <c r="AX81" s="26">
        <f t="shared" si="38"/>
        <v>0</v>
      </c>
      <c r="AY81" s="28" t="s">
        <v>237</v>
      </c>
      <c r="AZ81" s="28" t="s">
        <v>31</v>
      </c>
      <c r="BA81" s="1" t="s">
        <v>397</v>
      </c>
      <c r="BC81" s="26">
        <f t="shared" si="39"/>
        <v>0</v>
      </c>
      <c r="BD81" s="26">
        <f t="shared" si="40"/>
        <v>0</v>
      </c>
      <c r="BE81" s="26">
        <v>0</v>
      </c>
      <c r="BF81" s="26">
        <f>81</f>
        <v>81</v>
      </c>
      <c r="BH81" s="26">
        <f t="shared" si="41"/>
        <v>0</v>
      </c>
      <c r="BI81" s="26">
        <f t="shared" si="42"/>
        <v>0</v>
      </c>
      <c r="BJ81" s="26">
        <f t="shared" si="43"/>
        <v>0</v>
      </c>
      <c r="BK81" s="26"/>
      <c r="BL81" s="26">
        <v>725</v>
      </c>
    </row>
    <row r="82" spans="1:64" ht="15" customHeight="1">
      <c r="A82" s="33" t="s">
        <v>230</v>
      </c>
      <c r="B82" s="6" t="s">
        <v>131</v>
      </c>
      <c r="C82" s="62" t="s">
        <v>99</v>
      </c>
      <c r="D82" s="62"/>
      <c r="E82" s="62"/>
      <c r="F82" s="62"/>
      <c r="G82" s="6" t="s">
        <v>141</v>
      </c>
      <c r="H82" s="26">
        <v>1</v>
      </c>
      <c r="I82" s="26">
        <v>0</v>
      </c>
      <c r="J82" s="26">
        <f t="shared" si="22"/>
        <v>0</v>
      </c>
      <c r="K82" s="26">
        <f t="shared" si="23"/>
        <v>0</v>
      </c>
      <c r="L82" s="26">
        <f t="shared" si="24"/>
        <v>0</v>
      </c>
      <c r="M82" s="2" t="s">
        <v>197</v>
      </c>
      <c r="Z82" s="26">
        <f t="shared" si="25"/>
        <v>0</v>
      </c>
      <c r="AB82" s="26">
        <f t="shared" si="26"/>
        <v>0</v>
      </c>
      <c r="AC82" s="26">
        <f t="shared" si="27"/>
        <v>0</v>
      </c>
      <c r="AD82" s="26">
        <f t="shared" si="28"/>
        <v>0</v>
      </c>
      <c r="AE82" s="26">
        <f t="shared" si="29"/>
        <v>0</v>
      </c>
      <c r="AF82" s="26">
        <f t="shared" si="30"/>
        <v>0</v>
      </c>
      <c r="AG82" s="26">
        <f t="shared" si="31"/>
        <v>0</v>
      </c>
      <c r="AH82" s="26">
        <f t="shared" si="32"/>
        <v>0</v>
      </c>
      <c r="AI82" s="1" t="s">
        <v>356</v>
      </c>
      <c r="AJ82" s="26">
        <f t="shared" si="33"/>
        <v>0</v>
      </c>
      <c r="AK82" s="26">
        <f t="shared" si="34"/>
        <v>0</v>
      </c>
      <c r="AL82" s="26">
        <f t="shared" si="35"/>
        <v>0</v>
      </c>
      <c r="AN82" s="26">
        <v>21</v>
      </c>
      <c r="AO82" s="26">
        <f>I82*0.89479271070615</f>
        <v>0</v>
      </c>
      <c r="AP82" s="26">
        <f>I82*(1-0.89479271070615)</f>
        <v>0</v>
      </c>
      <c r="AQ82" s="28" t="s">
        <v>539</v>
      </c>
      <c r="AV82" s="26">
        <f t="shared" si="36"/>
        <v>0</v>
      </c>
      <c r="AW82" s="26">
        <f t="shared" si="37"/>
        <v>0</v>
      </c>
      <c r="AX82" s="26">
        <f t="shared" si="38"/>
        <v>0</v>
      </c>
      <c r="AY82" s="28" t="s">
        <v>237</v>
      </c>
      <c r="AZ82" s="28" t="s">
        <v>31</v>
      </c>
      <c r="BA82" s="1" t="s">
        <v>397</v>
      </c>
      <c r="BC82" s="26">
        <f t="shared" si="39"/>
        <v>0</v>
      </c>
      <c r="BD82" s="26">
        <f t="shared" si="40"/>
        <v>0</v>
      </c>
      <c r="BE82" s="26">
        <v>0</v>
      </c>
      <c r="BF82" s="26">
        <f>82</f>
        <v>82</v>
      </c>
      <c r="BH82" s="26">
        <f t="shared" si="41"/>
        <v>0</v>
      </c>
      <c r="BI82" s="26">
        <f t="shared" si="42"/>
        <v>0</v>
      </c>
      <c r="BJ82" s="26">
        <f t="shared" si="43"/>
        <v>0</v>
      </c>
      <c r="BK82" s="26"/>
      <c r="BL82" s="26">
        <v>725</v>
      </c>
    </row>
    <row r="83" spans="1:64" ht="15" customHeight="1">
      <c r="A83" s="33" t="s">
        <v>186</v>
      </c>
      <c r="B83" s="6" t="s">
        <v>592</v>
      </c>
      <c r="C83" s="62" t="s">
        <v>417</v>
      </c>
      <c r="D83" s="62"/>
      <c r="E83" s="62"/>
      <c r="F83" s="62"/>
      <c r="G83" s="6" t="s">
        <v>141</v>
      </c>
      <c r="H83" s="26">
        <v>1</v>
      </c>
      <c r="I83" s="26">
        <v>0</v>
      </c>
      <c r="J83" s="26">
        <f t="shared" si="22"/>
        <v>0</v>
      </c>
      <c r="K83" s="26">
        <f t="shared" si="23"/>
        <v>0</v>
      </c>
      <c r="L83" s="26">
        <f t="shared" si="24"/>
        <v>0</v>
      </c>
      <c r="M83" s="2" t="s">
        <v>197</v>
      </c>
      <c r="Z83" s="26">
        <f t="shared" si="25"/>
        <v>0</v>
      </c>
      <c r="AB83" s="26">
        <f t="shared" si="26"/>
        <v>0</v>
      </c>
      <c r="AC83" s="26">
        <f t="shared" si="27"/>
        <v>0</v>
      </c>
      <c r="AD83" s="26">
        <f t="shared" si="28"/>
        <v>0</v>
      </c>
      <c r="AE83" s="26">
        <f t="shared" si="29"/>
        <v>0</v>
      </c>
      <c r="AF83" s="26">
        <f t="shared" si="30"/>
        <v>0</v>
      </c>
      <c r="AG83" s="26">
        <f t="shared" si="31"/>
        <v>0</v>
      </c>
      <c r="AH83" s="26">
        <f t="shared" si="32"/>
        <v>0</v>
      </c>
      <c r="AI83" s="1" t="s">
        <v>356</v>
      </c>
      <c r="AJ83" s="26">
        <f t="shared" si="33"/>
        <v>0</v>
      </c>
      <c r="AK83" s="26">
        <f t="shared" si="34"/>
        <v>0</v>
      </c>
      <c r="AL83" s="26">
        <f t="shared" si="35"/>
        <v>0</v>
      </c>
      <c r="AN83" s="26">
        <v>21</v>
      </c>
      <c r="AO83" s="26">
        <f>I83*0.852484261501211</f>
        <v>0</v>
      </c>
      <c r="AP83" s="26">
        <f>I83*(1-0.852484261501211)</f>
        <v>0</v>
      </c>
      <c r="AQ83" s="28" t="s">
        <v>539</v>
      </c>
      <c r="AV83" s="26">
        <f t="shared" si="36"/>
        <v>0</v>
      </c>
      <c r="AW83" s="26">
        <f t="shared" si="37"/>
        <v>0</v>
      </c>
      <c r="AX83" s="26">
        <f t="shared" si="38"/>
        <v>0</v>
      </c>
      <c r="AY83" s="28" t="s">
        <v>237</v>
      </c>
      <c r="AZ83" s="28" t="s">
        <v>31</v>
      </c>
      <c r="BA83" s="1" t="s">
        <v>397</v>
      </c>
      <c r="BC83" s="26">
        <f t="shared" si="39"/>
        <v>0</v>
      </c>
      <c r="BD83" s="26">
        <f t="shared" si="40"/>
        <v>0</v>
      </c>
      <c r="BE83" s="26">
        <v>0</v>
      </c>
      <c r="BF83" s="26">
        <f>83</f>
        <v>83</v>
      </c>
      <c r="BH83" s="26">
        <f t="shared" si="41"/>
        <v>0</v>
      </c>
      <c r="BI83" s="26">
        <f t="shared" si="42"/>
        <v>0</v>
      </c>
      <c r="BJ83" s="26">
        <f t="shared" si="43"/>
        <v>0</v>
      </c>
      <c r="BK83" s="26"/>
      <c r="BL83" s="26">
        <v>725</v>
      </c>
    </row>
    <row r="84" spans="1:64" ht="15" customHeight="1">
      <c r="A84" s="33" t="s">
        <v>422</v>
      </c>
      <c r="B84" s="6" t="s">
        <v>500</v>
      </c>
      <c r="C84" s="62" t="s">
        <v>100</v>
      </c>
      <c r="D84" s="62"/>
      <c r="E84" s="62"/>
      <c r="F84" s="62"/>
      <c r="G84" s="6" t="s">
        <v>182</v>
      </c>
      <c r="H84" s="26">
        <v>1</v>
      </c>
      <c r="I84" s="26">
        <v>0</v>
      </c>
      <c r="J84" s="26">
        <f t="shared" si="22"/>
        <v>0</v>
      </c>
      <c r="K84" s="26">
        <f t="shared" si="23"/>
        <v>0</v>
      </c>
      <c r="L84" s="26">
        <f t="shared" si="24"/>
        <v>0</v>
      </c>
      <c r="M84" s="2" t="s">
        <v>356</v>
      </c>
      <c r="Z84" s="26">
        <f t="shared" si="25"/>
        <v>0</v>
      </c>
      <c r="AB84" s="26">
        <f t="shared" si="26"/>
        <v>0</v>
      </c>
      <c r="AC84" s="26">
        <f t="shared" si="27"/>
        <v>0</v>
      </c>
      <c r="AD84" s="26">
        <f t="shared" si="28"/>
        <v>0</v>
      </c>
      <c r="AE84" s="26">
        <f t="shared" si="29"/>
        <v>0</v>
      </c>
      <c r="AF84" s="26">
        <f t="shared" si="30"/>
        <v>0</v>
      </c>
      <c r="AG84" s="26">
        <f t="shared" si="31"/>
        <v>0</v>
      </c>
      <c r="AH84" s="26">
        <f t="shared" si="32"/>
        <v>0</v>
      </c>
      <c r="AI84" s="1" t="s">
        <v>356</v>
      </c>
      <c r="AJ84" s="26">
        <f t="shared" si="33"/>
        <v>0</v>
      </c>
      <c r="AK84" s="26">
        <f t="shared" si="34"/>
        <v>0</v>
      </c>
      <c r="AL84" s="26">
        <f t="shared" si="35"/>
        <v>0</v>
      </c>
      <c r="AN84" s="26">
        <v>21</v>
      </c>
      <c r="AO84" s="26">
        <f>I84*1</f>
        <v>0</v>
      </c>
      <c r="AP84" s="26">
        <f>I84*(1-1)</f>
        <v>0</v>
      </c>
      <c r="AQ84" s="28" t="s">
        <v>539</v>
      </c>
      <c r="AV84" s="26">
        <f t="shared" si="36"/>
        <v>0</v>
      </c>
      <c r="AW84" s="26">
        <f t="shared" si="37"/>
        <v>0</v>
      </c>
      <c r="AX84" s="26">
        <f t="shared" si="38"/>
        <v>0</v>
      </c>
      <c r="AY84" s="28" t="s">
        <v>237</v>
      </c>
      <c r="AZ84" s="28" t="s">
        <v>31</v>
      </c>
      <c r="BA84" s="1" t="s">
        <v>397</v>
      </c>
      <c r="BC84" s="26">
        <f t="shared" si="39"/>
        <v>0</v>
      </c>
      <c r="BD84" s="26">
        <f t="shared" si="40"/>
        <v>0</v>
      </c>
      <c r="BE84" s="26">
        <v>0</v>
      </c>
      <c r="BF84" s="26">
        <f>84</f>
        <v>84</v>
      </c>
      <c r="BH84" s="26">
        <f t="shared" si="41"/>
        <v>0</v>
      </c>
      <c r="BI84" s="26">
        <f t="shared" si="42"/>
        <v>0</v>
      </c>
      <c r="BJ84" s="26">
        <f t="shared" si="43"/>
        <v>0</v>
      </c>
      <c r="BK84" s="26"/>
      <c r="BL84" s="26">
        <v>725</v>
      </c>
    </row>
    <row r="85" spans="1:64" ht="15" customHeight="1">
      <c r="A85" s="33" t="s">
        <v>555</v>
      </c>
      <c r="B85" s="6" t="s">
        <v>206</v>
      </c>
      <c r="C85" s="62" t="s">
        <v>496</v>
      </c>
      <c r="D85" s="62"/>
      <c r="E85" s="62"/>
      <c r="F85" s="62"/>
      <c r="G85" s="6" t="s">
        <v>468</v>
      </c>
      <c r="H85" s="26">
        <v>0.32</v>
      </c>
      <c r="I85" s="26">
        <v>0</v>
      </c>
      <c r="J85" s="26">
        <f t="shared" si="22"/>
        <v>0</v>
      </c>
      <c r="K85" s="26">
        <f t="shared" si="23"/>
        <v>0</v>
      </c>
      <c r="L85" s="26">
        <f t="shared" si="24"/>
        <v>0</v>
      </c>
      <c r="M85" s="2" t="s">
        <v>197</v>
      </c>
      <c r="Z85" s="26">
        <f t="shared" si="25"/>
        <v>0</v>
      </c>
      <c r="AB85" s="26">
        <f t="shared" si="26"/>
        <v>0</v>
      </c>
      <c r="AC85" s="26">
        <f t="shared" si="27"/>
        <v>0</v>
      </c>
      <c r="AD85" s="26">
        <f t="shared" si="28"/>
        <v>0</v>
      </c>
      <c r="AE85" s="26">
        <f t="shared" si="29"/>
        <v>0</v>
      </c>
      <c r="AF85" s="26">
        <f t="shared" si="30"/>
        <v>0</v>
      </c>
      <c r="AG85" s="26">
        <f t="shared" si="31"/>
        <v>0</v>
      </c>
      <c r="AH85" s="26">
        <f t="shared" si="32"/>
        <v>0</v>
      </c>
      <c r="AI85" s="1" t="s">
        <v>356</v>
      </c>
      <c r="AJ85" s="26">
        <f t="shared" si="33"/>
        <v>0</v>
      </c>
      <c r="AK85" s="26">
        <f t="shared" si="34"/>
        <v>0</v>
      </c>
      <c r="AL85" s="26">
        <f t="shared" si="35"/>
        <v>0</v>
      </c>
      <c r="AN85" s="26">
        <v>21</v>
      </c>
      <c r="AO85" s="26">
        <f>I85*0</f>
        <v>0</v>
      </c>
      <c r="AP85" s="26">
        <f>I85*(1-0)</f>
        <v>0</v>
      </c>
      <c r="AQ85" s="28" t="s">
        <v>279</v>
      </c>
      <c r="AV85" s="26">
        <f t="shared" si="36"/>
        <v>0</v>
      </c>
      <c r="AW85" s="26">
        <f t="shared" si="37"/>
        <v>0</v>
      </c>
      <c r="AX85" s="26">
        <f t="shared" si="38"/>
        <v>0</v>
      </c>
      <c r="AY85" s="28" t="s">
        <v>237</v>
      </c>
      <c r="AZ85" s="28" t="s">
        <v>31</v>
      </c>
      <c r="BA85" s="1" t="s">
        <v>397</v>
      </c>
      <c r="BC85" s="26">
        <f t="shared" si="39"/>
        <v>0</v>
      </c>
      <c r="BD85" s="26">
        <f t="shared" si="40"/>
        <v>0</v>
      </c>
      <c r="BE85" s="26">
        <v>0</v>
      </c>
      <c r="BF85" s="26">
        <f>85</f>
        <v>85</v>
      </c>
      <c r="BH85" s="26">
        <f t="shared" si="41"/>
        <v>0</v>
      </c>
      <c r="BI85" s="26">
        <f t="shared" si="42"/>
        <v>0</v>
      </c>
      <c r="BJ85" s="26">
        <f t="shared" si="43"/>
        <v>0</v>
      </c>
      <c r="BK85" s="26"/>
      <c r="BL85" s="26">
        <v>725</v>
      </c>
    </row>
    <row r="86" spans="1:47" ht="15" customHeight="1">
      <c r="A86" s="34" t="s">
        <v>356</v>
      </c>
      <c r="B86" s="52" t="s">
        <v>297</v>
      </c>
      <c r="C86" s="77" t="s">
        <v>567</v>
      </c>
      <c r="D86" s="77"/>
      <c r="E86" s="77"/>
      <c r="F86" s="77"/>
      <c r="G86" s="5" t="s">
        <v>492</v>
      </c>
      <c r="H86" s="5" t="s">
        <v>492</v>
      </c>
      <c r="I86" s="5" t="s">
        <v>492</v>
      </c>
      <c r="J86" s="47">
        <f>SUM(J87:J92)</f>
        <v>0</v>
      </c>
      <c r="K86" s="47">
        <f>SUM(K87:K92)</f>
        <v>0</v>
      </c>
      <c r="L86" s="47">
        <f>SUM(L87:L92)</f>
        <v>0</v>
      </c>
      <c r="M86" s="13" t="s">
        <v>356</v>
      </c>
      <c r="AI86" s="1" t="s">
        <v>356</v>
      </c>
      <c r="AS86" s="47">
        <f>SUM(AJ87:AJ92)</f>
        <v>0</v>
      </c>
      <c r="AT86" s="47">
        <f>SUM(AK87:AK92)</f>
        <v>0</v>
      </c>
      <c r="AU86" s="47">
        <f>SUM(AL87:AL92)</f>
        <v>0</v>
      </c>
    </row>
    <row r="87" spans="1:64" ht="15" customHeight="1">
      <c r="A87" s="33" t="s">
        <v>36</v>
      </c>
      <c r="B87" s="6" t="s">
        <v>357</v>
      </c>
      <c r="C87" s="62" t="s">
        <v>219</v>
      </c>
      <c r="D87" s="62"/>
      <c r="E87" s="62"/>
      <c r="F87" s="62"/>
      <c r="G87" s="6" t="s">
        <v>141</v>
      </c>
      <c r="H87" s="26">
        <v>2</v>
      </c>
      <c r="I87" s="26">
        <v>0</v>
      </c>
      <c r="J87" s="26">
        <f aca="true" t="shared" si="44" ref="J87:J92">H87*AO87</f>
        <v>0</v>
      </c>
      <c r="K87" s="26">
        <f aca="true" t="shared" si="45" ref="K87:K92">H87*AP87</f>
        <v>0</v>
      </c>
      <c r="L87" s="26">
        <f aca="true" t="shared" si="46" ref="L87:L92">H87*I87</f>
        <v>0</v>
      </c>
      <c r="M87" s="2" t="s">
        <v>197</v>
      </c>
      <c r="Z87" s="26">
        <f aca="true" t="shared" si="47" ref="Z87:Z92">IF(AQ87="5",BJ87,0)</f>
        <v>0</v>
      </c>
      <c r="AB87" s="26">
        <f aca="true" t="shared" si="48" ref="AB87:AB92">IF(AQ87="1",BH87,0)</f>
        <v>0</v>
      </c>
      <c r="AC87" s="26">
        <f aca="true" t="shared" si="49" ref="AC87:AC92">IF(AQ87="1",BI87,0)</f>
        <v>0</v>
      </c>
      <c r="AD87" s="26">
        <f aca="true" t="shared" si="50" ref="AD87:AD92">IF(AQ87="7",BH87,0)</f>
        <v>0</v>
      </c>
      <c r="AE87" s="26">
        <f aca="true" t="shared" si="51" ref="AE87:AE92">IF(AQ87="7",BI87,0)</f>
        <v>0</v>
      </c>
      <c r="AF87" s="26">
        <f aca="true" t="shared" si="52" ref="AF87:AF92">IF(AQ87="2",BH87,0)</f>
        <v>0</v>
      </c>
      <c r="AG87" s="26">
        <f aca="true" t="shared" si="53" ref="AG87:AG92">IF(AQ87="2",BI87,0)</f>
        <v>0</v>
      </c>
      <c r="AH87" s="26">
        <f aca="true" t="shared" si="54" ref="AH87:AH92">IF(AQ87="0",BJ87,0)</f>
        <v>0</v>
      </c>
      <c r="AI87" s="1" t="s">
        <v>356</v>
      </c>
      <c r="AJ87" s="26">
        <f aca="true" t="shared" si="55" ref="AJ87:AJ92">IF(AN87=0,L87,0)</f>
        <v>0</v>
      </c>
      <c r="AK87" s="26">
        <f aca="true" t="shared" si="56" ref="AK87:AK92">IF(AN87=15,L87,0)</f>
        <v>0</v>
      </c>
      <c r="AL87" s="26">
        <f aca="true" t="shared" si="57" ref="AL87:AL92">IF(AN87=21,L87,0)</f>
        <v>0</v>
      </c>
      <c r="AN87" s="26">
        <v>21</v>
      </c>
      <c r="AO87" s="26">
        <f>I87*0</f>
        <v>0</v>
      </c>
      <c r="AP87" s="26">
        <f>I87*(1-0)</f>
        <v>0</v>
      </c>
      <c r="AQ87" s="28" t="s">
        <v>539</v>
      </c>
      <c r="AV87" s="26">
        <f aca="true" t="shared" si="58" ref="AV87:AV92">AW87+AX87</f>
        <v>0</v>
      </c>
      <c r="AW87" s="26">
        <f aca="true" t="shared" si="59" ref="AW87:AW92">H87*AO87</f>
        <v>0</v>
      </c>
      <c r="AX87" s="26">
        <f aca="true" t="shared" si="60" ref="AX87:AX92">H87*AP87</f>
        <v>0</v>
      </c>
      <c r="AY87" s="28" t="s">
        <v>425</v>
      </c>
      <c r="AZ87" s="28" t="s">
        <v>31</v>
      </c>
      <c r="BA87" s="1" t="s">
        <v>397</v>
      </c>
      <c r="BC87" s="26">
        <f aca="true" t="shared" si="61" ref="BC87:BC92">AW87+AX87</f>
        <v>0</v>
      </c>
      <c r="BD87" s="26">
        <f aca="true" t="shared" si="62" ref="BD87:BD92">I87/(100-BE87)*100</f>
        <v>0</v>
      </c>
      <c r="BE87" s="26">
        <v>0</v>
      </c>
      <c r="BF87" s="26">
        <f>87</f>
        <v>87</v>
      </c>
      <c r="BH87" s="26">
        <f aca="true" t="shared" si="63" ref="BH87:BH92">H87*AO87</f>
        <v>0</v>
      </c>
      <c r="BI87" s="26">
        <f aca="true" t="shared" si="64" ref="BI87:BI92">H87*AP87</f>
        <v>0</v>
      </c>
      <c r="BJ87" s="26">
        <f aca="true" t="shared" si="65" ref="BJ87:BJ92">H87*I87</f>
        <v>0</v>
      </c>
      <c r="BK87" s="26"/>
      <c r="BL87" s="26">
        <v>728</v>
      </c>
    </row>
    <row r="88" spans="1:64" ht="15" customHeight="1">
      <c r="A88" s="33" t="s">
        <v>405</v>
      </c>
      <c r="B88" s="6" t="s">
        <v>127</v>
      </c>
      <c r="C88" s="62" t="s">
        <v>442</v>
      </c>
      <c r="D88" s="62"/>
      <c r="E88" s="62"/>
      <c r="F88" s="62"/>
      <c r="G88" s="6" t="s">
        <v>141</v>
      </c>
      <c r="H88" s="26">
        <v>2</v>
      </c>
      <c r="I88" s="26">
        <v>0</v>
      </c>
      <c r="J88" s="26">
        <f t="shared" si="44"/>
        <v>0</v>
      </c>
      <c r="K88" s="26">
        <f t="shared" si="45"/>
        <v>0</v>
      </c>
      <c r="L88" s="26">
        <f t="shared" si="46"/>
        <v>0</v>
      </c>
      <c r="M88" s="2" t="s">
        <v>197</v>
      </c>
      <c r="Z88" s="26">
        <f t="shared" si="47"/>
        <v>0</v>
      </c>
      <c r="AB88" s="26">
        <f t="shared" si="48"/>
        <v>0</v>
      </c>
      <c r="AC88" s="26">
        <f t="shared" si="49"/>
        <v>0</v>
      </c>
      <c r="AD88" s="26">
        <f t="shared" si="50"/>
        <v>0</v>
      </c>
      <c r="AE88" s="26">
        <f t="shared" si="51"/>
        <v>0</v>
      </c>
      <c r="AF88" s="26">
        <f t="shared" si="52"/>
        <v>0</v>
      </c>
      <c r="AG88" s="26">
        <f t="shared" si="53"/>
        <v>0</v>
      </c>
      <c r="AH88" s="26">
        <f t="shared" si="54"/>
        <v>0</v>
      </c>
      <c r="AI88" s="1" t="s">
        <v>356</v>
      </c>
      <c r="AJ88" s="26">
        <f t="shared" si="55"/>
        <v>0</v>
      </c>
      <c r="AK88" s="26">
        <f t="shared" si="56"/>
        <v>0</v>
      </c>
      <c r="AL88" s="26">
        <f t="shared" si="57"/>
        <v>0</v>
      </c>
      <c r="AN88" s="26">
        <v>21</v>
      </c>
      <c r="AO88" s="26">
        <f>I88*1</f>
        <v>0</v>
      </c>
      <c r="AP88" s="26">
        <f>I88*(1-1)</f>
        <v>0</v>
      </c>
      <c r="AQ88" s="28" t="s">
        <v>539</v>
      </c>
      <c r="AV88" s="26">
        <f t="shared" si="58"/>
        <v>0</v>
      </c>
      <c r="AW88" s="26">
        <f t="shared" si="59"/>
        <v>0</v>
      </c>
      <c r="AX88" s="26">
        <f t="shared" si="60"/>
        <v>0</v>
      </c>
      <c r="AY88" s="28" t="s">
        <v>425</v>
      </c>
      <c r="AZ88" s="28" t="s">
        <v>31</v>
      </c>
      <c r="BA88" s="1" t="s">
        <v>397</v>
      </c>
      <c r="BC88" s="26">
        <f t="shared" si="61"/>
        <v>0</v>
      </c>
      <c r="BD88" s="26">
        <f t="shared" si="62"/>
        <v>0</v>
      </c>
      <c r="BE88" s="26">
        <v>0</v>
      </c>
      <c r="BF88" s="26">
        <f>88</f>
        <v>88</v>
      </c>
      <c r="BH88" s="26">
        <f t="shared" si="63"/>
        <v>0</v>
      </c>
      <c r="BI88" s="26">
        <f t="shared" si="64"/>
        <v>0</v>
      </c>
      <c r="BJ88" s="26">
        <f t="shared" si="65"/>
        <v>0</v>
      </c>
      <c r="BK88" s="26"/>
      <c r="BL88" s="26">
        <v>728</v>
      </c>
    </row>
    <row r="89" spans="1:64" ht="15" customHeight="1">
      <c r="A89" s="33" t="s">
        <v>434</v>
      </c>
      <c r="B89" s="6" t="s">
        <v>506</v>
      </c>
      <c r="C89" s="62" t="s">
        <v>530</v>
      </c>
      <c r="D89" s="62"/>
      <c r="E89" s="62"/>
      <c r="F89" s="62"/>
      <c r="G89" s="6" t="s">
        <v>438</v>
      </c>
      <c r="H89" s="26">
        <v>1</v>
      </c>
      <c r="I89" s="26">
        <v>0</v>
      </c>
      <c r="J89" s="26">
        <f t="shared" si="44"/>
        <v>0</v>
      </c>
      <c r="K89" s="26">
        <f t="shared" si="45"/>
        <v>0</v>
      </c>
      <c r="L89" s="26">
        <f t="shared" si="46"/>
        <v>0</v>
      </c>
      <c r="M89" s="2" t="s">
        <v>197</v>
      </c>
      <c r="Z89" s="26">
        <f t="shared" si="47"/>
        <v>0</v>
      </c>
      <c r="AB89" s="26">
        <f t="shared" si="48"/>
        <v>0</v>
      </c>
      <c r="AC89" s="26">
        <f t="shared" si="49"/>
        <v>0</v>
      </c>
      <c r="AD89" s="26">
        <f t="shared" si="50"/>
        <v>0</v>
      </c>
      <c r="AE89" s="26">
        <f t="shared" si="51"/>
        <v>0</v>
      </c>
      <c r="AF89" s="26">
        <f t="shared" si="52"/>
        <v>0</v>
      </c>
      <c r="AG89" s="26">
        <f t="shared" si="53"/>
        <v>0</v>
      </c>
      <c r="AH89" s="26">
        <f t="shared" si="54"/>
        <v>0</v>
      </c>
      <c r="AI89" s="1" t="s">
        <v>356</v>
      </c>
      <c r="AJ89" s="26">
        <f t="shared" si="55"/>
        <v>0</v>
      </c>
      <c r="AK89" s="26">
        <f t="shared" si="56"/>
        <v>0</v>
      </c>
      <c r="AL89" s="26">
        <f t="shared" si="57"/>
        <v>0</v>
      </c>
      <c r="AN89" s="26">
        <v>21</v>
      </c>
      <c r="AO89" s="26">
        <f>I89*0</f>
        <v>0</v>
      </c>
      <c r="AP89" s="26">
        <f>I89*(1-0)</f>
        <v>0</v>
      </c>
      <c r="AQ89" s="28" t="s">
        <v>539</v>
      </c>
      <c r="AV89" s="26">
        <f t="shared" si="58"/>
        <v>0</v>
      </c>
      <c r="AW89" s="26">
        <f t="shared" si="59"/>
        <v>0</v>
      </c>
      <c r="AX89" s="26">
        <f t="shared" si="60"/>
        <v>0</v>
      </c>
      <c r="AY89" s="28" t="s">
        <v>425</v>
      </c>
      <c r="AZ89" s="28" t="s">
        <v>31</v>
      </c>
      <c r="BA89" s="1" t="s">
        <v>397</v>
      </c>
      <c r="BC89" s="26">
        <f t="shared" si="61"/>
        <v>0</v>
      </c>
      <c r="BD89" s="26">
        <f t="shared" si="62"/>
        <v>0</v>
      </c>
      <c r="BE89" s="26">
        <v>0</v>
      </c>
      <c r="BF89" s="26">
        <f>89</f>
        <v>89</v>
      </c>
      <c r="BH89" s="26">
        <f t="shared" si="63"/>
        <v>0</v>
      </c>
      <c r="BI89" s="26">
        <f t="shared" si="64"/>
        <v>0</v>
      </c>
      <c r="BJ89" s="26">
        <f t="shared" si="65"/>
        <v>0</v>
      </c>
      <c r="BK89" s="26"/>
      <c r="BL89" s="26">
        <v>728</v>
      </c>
    </row>
    <row r="90" spans="1:64" ht="15" customHeight="1">
      <c r="A90" s="33" t="s">
        <v>221</v>
      </c>
      <c r="B90" s="6" t="s">
        <v>463</v>
      </c>
      <c r="C90" s="62" t="s">
        <v>490</v>
      </c>
      <c r="D90" s="62"/>
      <c r="E90" s="62"/>
      <c r="F90" s="62"/>
      <c r="G90" s="6" t="s">
        <v>438</v>
      </c>
      <c r="H90" s="26">
        <v>1</v>
      </c>
      <c r="I90" s="26">
        <v>0</v>
      </c>
      <c r="J90" s="26">
        <f t="shared" si="44"/>
        <v>0</v>
      </c>
      <c r="K90" s="26">
        <f t="shared" si="45"/>
        <v>0</v>
      </c>
      <c r="L90" s="26">
        <f t="shared" si="46"/>
        <v>0</v>
      </c>
      <c r="M90" s="2" t="s">
        <v>197</v>
      </c>
      <c r="Z90" s="26">
        <f t="shared" si="47"/>
        <v>0</v>
      </c>
      <c r="AB90" s="26">
        <f t="shared" si="48"/>
        <v>0</v>
      </c>
      <c r="AC90" s="26">
        <f t="shared" si="49"/>
        <v>0</v>
      </c>
      <c r="AD90" s="26">
        <f t="shared" si="50"/>
        <v>0</v>
      </c>
      <c r="AE90" s="26">
        <f t="shared" si="51"/>
        <v>0</v>
      </c>
      <c r="AF90" s="26">
        <f t="shared" si="52"/>
        <v>0</v>
      </c>
      <c r="AG90" s="26">
        <f t="shared" si="53"/>
        <v>0</v>
      </c>
      <c r="AH90" s="26">
        <f t="shared" si="54"/>
        <v>0</v>
      </c>
      <c r="AI90" s="1" t="s">
        <v>356</v>
      </c>
      <c r="AJ90" s="26">
        <f t="shared" si="55"/>
        <v>0</v>
      </c>
      <c r="AK90" s="26">
        <f t="shared" si="56"/>
        <v>0</v>
      </c>
      <c r="AL90" s="26">
        <f t="shared" si="57"/>
        <v>0</v>
      </c>
      <c r="AN90" s="26">
        <v>21</v>
      </c>
      <c r="AO90" s="26">
        <f>I90*0</f>
        <v>0</v>
      </c>
      <c r="AP90" s="26">
        <f>I90*(1-0)</f>
        <v>0</v>
      </c>
      <c r="AQ90" s="28" t="s">
        <v>539</v>
      </c>
      <c r="AV90" s="26">
        <f t="shared" si="58"/>
        <v>0</v>
      </c>
      <c r="AW90" s="26">
        <f t="shared" si="59"/>
        <v>0</v>
      </c>
      <c r="AX90" s="26">
        <f t="shared" si="60"/>
        <v>0</v>
      </c>
      <c r="AY90" s="28" t="s">
        <v>425</v>
      </c>
      <c r="AZ90" s="28" t="s">
        <v>31</v>
      </c>
      <c r="BA90" s="1" t="s">
        <v>397</v>
      </c>
      <c r="BC90" s="26">
        <f t="shared" si="61"/>
        <v>0</v>
      </c>
      <c r="BD90" s="26">
        <f t="shared" si="62"/>
        <v>0</v>
      </c>
      <c r="BE90" s="26">
        <v>0</v>
      </c>
      <c r="BF90" s="26">
        <f>90</f>
        <v>90</v>
      </c>
      <c r="BH90" s="26">
        <f t="shared" si="63"/>
        <v>0</v>
      </c>
      <c r="BI90" s="26">
        <f t="shared" si="64"/>
        <v>0</v>
      </c>
      <c r="BJ90" s="26">
        <f t="shared" si="65"/>
        <v>0</v>
      </c>
      <c r="BK90" s="26"/>
      <c r="BL90" s="26">
        <v>728</v>
      </c>
    </row>
    <row r="91" spans="1:64" ht="15" customHeight="1">
      <c r="A91" s="33" t="s">
        <v>217</v>
      </c>
      <c r="B91" s="6" t="s">
        <v>485</v>
      </c>
      <c r="C91" s="62" t="s">
        <v>68</v>
      </c>
      <c r="D91" s="62"/>
      <c r="E91" s="62"/>
      <c r="F91" s="62"/>
      <c r="G91" s="6" t="s">
        <v>141</v>
      </c>
      <c r="H91" s="26">
        <v>1</v>
      </c>
      <c r="I91" s="26">
        <v>0</v>
      </c>
      <c r="J91" s="26">
        <f t="shared" si="44"/>
        <v>0</v>
      </c>
      <c r="K91" s="26">
        <f t="shared" si="45"/>
        <v>0</v>
      </c>
      <c r="L91" s="26">
        <f t="shared" si="46"/>
        <v>0</v>
      </c>
      <c r="M91" s="2" t="s">
        <v>197</v>
      </c>
      <c r="Z91" s="26">
        <f t="shared" si="47"/>
        <v>0</v>
      </c>
      <c r="AB91" s="26">
        <f t="shared" si="48"/>
        <v>0</v>
      </c>
      <c r="AC91" s="26">
        <f t="shared" si="49"/>
        <v>0</v>
      </c>
      <c r="AD91" s="26">
        <f t="shared" si="50"/>
        <v>0</v>
      </c>
      <c r="AE91" s="26">
        <f t="shared" si="51"/>
        <v>0</v>
      </c>
      <c r="AF91" s="26">
        <f t="shared" si="52"/>
        <v>0</v>
      </c>
      <c r="AG91" s="26">
        <f t="shared" si="53"/>
        <v>0</v>
      </c>
      <c r="AH91" s="26">
        <f t="shared" si="54"/>
        <v>0</v>
      </c>
      <c r="AI91" s="1" t="s">
        <v>356</v>
      </c>
      <c r="AJ91" s="26">
        <f t="shared" si="55"/>
        <v>0</v>
      </c>
      <c r="AK91" s="26">
        <f t="shared" si="56"/>
        <v>0</v>
      </c>
      <c r="AL91" s="26">
        <f t="shared" si="57"/>
        <v>0</v>
      </c>
      <c r="AN91" s="26">
        <v>21</v>
      </c>
      <c r="AO91" s="26">
        <f>I91*1</f>
        <v>0</v>
      </c>
      <c r="AP91" s="26">
        <f>I91*(1-1)</f>
        <v>0</v>
      </c>
      <c r="AQ91" s="28" t="s">
        <v>539</v>
      </c>
      <c r="AV91" s="26">
        <f t="shared" si="58"/>
        <v>0</v>
      </c>
      <c r="AW91" s="26">
        <f t="shared" si="59"/>
        <v>0</v>
      </c>
      <c r="AX91" s="26">
        <f t="shared" si="60"/>
        <v>0</v>
      </c>
      <c r="AY91" s="28" t="s">
        <v>425</v>
      </c>
      <c r="AZ91" s="28" t="s">
        <v>31</v>
      </c>
      <c r="BA91" s="1" t="s">
        <v>397</v>
      </c>
      <c r="BC91" s="26">
        <f t="shared" si="61"/>
        <v>0</v>
      </c>
      <c r="BD91" s="26">
        <f t="shared" si="62"/>
        <v>0</v>
      </c>
      <c r="BE91" s="26">
        <v>0</v>
      </c>
      <c r="BF91" s="26">
        <f>91</f>
        <v>91</v>
      </c>
      <c r="BH91" s="26">
        <f t="shared" si="63"/>
        <v>0</v>
      </c>
      <c r="BI91" s="26">
        <f t="shared" si="64"/>
        <v>0</v>
      </c>
      <c r="BJ91" s="26">
        <f t="shared" si="65"/>
        <v>0</v>
      </c>
      <c r="BK91" s="26"/>
      <c r="BL91" s="26">
        <v>728</v>
      </c>
    </row>
    <row r="92" spans="1:64" ht="15" customHeight="1">
      <c r="A92" s="33" t="s">
        <v>247</v>
      </c>
      <c r="B92" s="6" t="s">
        <v>158</v>
      </c>
      <c r="C92" s="62" t="s">
        <v>1</v>
      </c>
      <c r="D92" s="62"/>
      <c r="E92" s="62"/>
      <c r="F92" s="62"/>
      <c r="G92" s="6" t="s">
        <v>400</v>
      </c>
      <c r="H92" s="26">
        <v>1</v>
      </c>
      <c r="I92" s="26">
        <v>0</v>
      </c>
      <c r="J92" s="26">
        <f t="shared" si="44"/>
        <v>0</v>
      </c>
      <c r="K92" s="26">
        <f t="shared" si="45"/>
        <v>0</v>
      </c>
      <c r="L92" s="26">
        <f t="shared" si="46"/>
        <v>0</v>
      </c>
      <c r="M92" s="2" t="s">
        <v>356</v>
      </c>
      <c r="Z92" s="26">
        <f t="shared" si="47"/>
        <v>0</v>
      </c>
      <c r="AB92" s="26">
        <f t="shared" si="48"/>
        <v>0</v>
      </c>
      <c r="AC92" s="26">
        <f t="shared" si="49"/>
        <v>0</v>
      </c>
      <c r="AD92" s="26">
        <f t="shared" si="50"/>
        <v>0</v>
      </c>
      <c r="AE92" s="26">
        <f t="shared" si="51"/>
        <v>0</v>
      </c>
      <c r="AF92" s="26">
        <f t="shared" si="52"/>
        <v>0</v>
      </c>
      <c r="AG92" s="26">
        <f t="shared" si="53"/>
        <v>0</v>
      </c>
      <c r="AH92" s="26">
        <f t="shared" si="54"/>
        <v>0</v>
      </c>
      <c r="AI92" s="1" t="s">
        <v>356</v>
      </c>
      <c r="AJ92" s="26">
        <f t="shared" si="55"/>
        <v>0</v>
      </c>
      <c r="AK92" s="26">
        <f t="shared" si="56"/>
        <v>0</v>
      </c>
      <c r="AL92" s="26">
        <f t="shared" si="57"/>
        <v>0</v>
      </c>
      <c r="AN92" s="26">
        <v>21</v>
      </c>
      <c r="AO92" s="26">
        <f>I92*1</f>
        <v>0</v>
      </c>
      <c r="AP92" s="26">
        <f>I92*(1-1)</f>
        <v>0</v>
      </c>
      <c r="AQ92" s="28" t="s">
        <v>539</v>
      </c>
      <c r="AV92" s="26">
        <f t="shared" si="58"/>
        <v>0</v>
      </c>
      <c r="AW92" s="26">
        <f t="shared" si="59"/>
        <v>0</v>
      </c>
      <c r="AX92" s="26">
        <f t="shared" si="60"/>
        <v>0</v>
      </c>
      <c r="AY92" s="28" t="s">
        <v>425</v>
      </c>
      <c r="AZ92" s="28" t="s">
        <v>31</v>
      </c>
      <c r="BA92" s="1" t="s">
        <v>397</v>
      </c>
      <c r="BC92" s="26">
        <f t="shared" si="61"/>
        <v>0</v>
      </c>
      <c r="BD92" s="26">
        <f t="shared" si="62"/>
        <v>0</v>
      </c>
      <c r="BE92" s="26">
        <v>0</v>
      </c>
      <c r="BF92" s="26">
        <f>92</f>
        <v>92</v>
      </c>
      <c r="BH92" s="26">
        <f t="shared" si="63"/>
        <v>0</v>
      </c>
      <c r="BI92" s="26">
        <f t="shared" si="64"/>
        <v>0</v>
      </c>
      <c r="BJ92" s="26">
        <f t="shared" si="65"/>
        <v>0</v>
      </c>
      <c r="BK92" s="26"/>
      <c r="BL92" s="26">
        <v>728</v>
      </c>
    </row>
    <row r="93" spans="1:47" ht="15" customHeight="1">
      <c r="A93" s="34" t="s">
        <v>356</v>
      </c>
      <c r="B93" s="52" t="s">
        <v>216</v>
      </c>
      <c r="C93" s="77" t="s">
        <v>248</v>
      </c>
      <c r="D93" s="77"/>
      <c r="E93" s="77"/>
      <c r="F93" s="77"/>
      <c r="G93" s="5" t="s">
        <v>492</v>
      </c>
      <c r="H93" s="5" t="s">
        <v>492</v>
      </c>
      <c r="I93" s="5" t="s">
        <v>492</v>
      </c>
      <c r="J93" s="47">
        <f>SUM(J94:J97)</f>
        <v>0</v>
      </c>
      <c r="K93" s="47">
        <f>SUM(K94:K97)</f>
        <v>0</v>
      </c>
      <c r="L93" s="47">
        <f>SUM(L94:L97)</f>
        <v>0</v>
      </c>
      <c r="M93" s="13" t="s">
        <v>356</v>
      </c>
      <c r="AI93" s="1" t="s">
        <v>356</v>
      </c>
      <c r="AS93" s="47">
        <f>SUM(AJ94:AJ97)</f>
        <v>0</v>
      </c>
      <c r="AT93" s="47">
        <f>SUM(AK94:AK97)</f>
        <v>0</v>
      </c>
      <c r="AU93" s="47">
        <f>SUM(AL94:AL97)</f>
        <v>0</v>
      </c>
    </row>
    <row r="94" spans="1:64" ht="15" customHeight="1">
      <c r="A94" s="33" t="s">
        <v>491</v>
      </c>
      <c r="B94" s="6" t="s">
        <v>423</v>
      </c>
      <c r="C94" s="62" t="s">
        <v>93</v>
      </c>
      <c r="D94" s="62"/>
      <c r="E94" s="62"/>
      <c r="F94" s="62"/>
      <c r="G94" s="6" t="s">
        <v>141</v>
      </c>
      <c r="H94" s="26">
        <v>1</v>
      </c>
      <c r="I94" s="26">
        <v>0</v>
      </c>
      <c r="J94" s="26">
        <f>H94*AO94</f>
        <v>0</v>
      </c>
      <c r="K94" s="26">
        <f>H94*AP94</f>
        <v>0</v>
      </c>
      <c r="L94" s="26">
        <f>H94*I94</f>
        <v>0</v>
      </c>
      <c r="M94" s="2" t="s">
        <v>197</v>
      </c>
      <c r="Z94" s="26">
        <f>IF(AQ94="5",BJ94,0)</f>
        <v>0</v>
      </c>
      <c r="AB94" s="26">
        <f>IF(AQ94="1",BH94,0)</f>
        <v>0</v>
      </c>
      <c r="AC94" s="26">
        <f>IF(AQ94="1",BI94,0)</f>
        <v>0</v>
      </c>
      <c r="AD94" s="26">
        <f>IF(AQ94="7",BH94,0)</f>
        <v>0</v>
      </c>
      <c r="AE94" s="26">
        <f>IF(AQ94="7",BI94,0)</f>
        <v>0</v>
      </c>
      <c r="AF94" s="26">
        <f>IF(AQ94="2",BH94,0)</f>
        <v>0</v>
      </c>
      <c r="AG94" s="26">
        <f>IF(AQ94="2",BI94,0)</f>
        <v>0</v>
      </c>
      <c r="AH94" s="26">
        <f>IF(AQ94="0",BJ94,0)</f>
        <v>0</v>
      </c>
      <c r="AI94" s="1" t="s">
        <v>356</v>
      </c>
      <c r="AJ94" s="26">
        <f>IF(AN94=0,L94,0)</f>
        <v>0</v>
      </c>
      <c r="AK94" s="26">
        <f>IF(AN94=15,L94,0)</f>
        <v>0</v>
      </c>
      <c r="AL94" s="26">
        <f>IF(AN94=21,L94,0)</f>
        <v>0</v>
      </c>
      <c r="AN94" s="26">
        <v>21</v>
      </c>
      <c r="AO94" s="26">
        <f>I94*0</f>
        <v>0</v>
      </c>
      <c r="AP94" s="26">
        <f>I94*(1-0)</f>
        <v>0</v>
      </c>
      <c r="AQ94" s="28" t="s">
        <v>539</v>
      </c>
      <c r="AV94" s="26">
        <f>AW94+AX94</f>
        <v>0</v>
      </c>
      <c r="AW94" s="26">
        <f>H94*AO94</f>
        <v>0</v>
      </c>
      <c r="AX94" s="26">
        <f>H94*AP94</f>
        <v>0</v>
      </c>
      <c r="AY94" s="28" t="s">
        <v>63</v>
      </c>
      <c r="AZ94" s="28" t="s">
        <v>281</v>
      </c>
      <c r="BA94" s="1" t="s">
        <v>397</v>
      </c>
      <c r="BC94" s="26">
        <f>AW94+AX94</f>
        <v>0</v>
      </c>
      <c r="BD94" s="26">
        <f>I94/(100-BE94)*100</f>
        <v>0</v>
      </c>
      <c r="BE94" s="26">
        <v>0</v>
      </c>
      <c r="BF94" s="26">
        <f>94</f>
        <v>94</v>
      </c>
      <c r="BH94" s="26">
        <f>H94*AO94</f>
        <v>0</v>
      </c>
      <c r="BI94" s="26">
        <f>H94*AP94</f>
        <v>0</v>
      </c>
      <c r="BJ94" s="26">
        <f>H94*I94</f>
        <v>0</v>
      </c>
      <c r="BK94" s="26"/>
      <c r="BL94" s="26">
        <v>766</v>
      </c>
    </row>
    <row r="95" spans="1:64" ht="15" customHeight="1">
      <c r="A95" s="33" t="s">
        <v>344</v>
      </c>
      <c r="B95" s="6" t="s">
        <v>402</v>
      </c>
      <c r="C95" s="62" t="s">
        <v>290</v>
      </c>
      <c r="D95" s="62"/>
      <c r="E95" s="62"/>
      <c r="F95" s="62"/>
      <c r="G95" s="6" t="s">
        <v>528</v>
      </c>
      <c r="H95" s="26">
        <v>2.34</v>
      </c>
      <c r="I95" s="26">
        <v>0</v>
      </c>
      <c r="J95" s="26">
        <f>H95*AO95</f>
        <v>0</v>
      </c>
      <c r="K95" s="26">
        <f>H95*AP95</f>
        <v>0</v>
      </c>
      <c r="L95" s="26">
        <f>H95*I95</f>
        <v>0</v>
      </c>
      <c r="M95" s="2" t="s">
        <v>197</v>
      </c>
      <c r="Z95" s="26">
        <f>IF(AQ95="5",BJ95,0)</f>
        <v>0</v>
      </c>
      <c r="AB95" s="26">
        <f>IF(AQ95="1",BH95,0)</f>
        <v>0</v>
      </c>
      <c r="AC95" s="26">
        <f>IF(AQ95="1",BI95,0)</f>
        <v>0</v>
      </c>
      <c r="AD95" s="26">
        <f>IF(AQ95="7",BH95,0)</f>
        <v>0</v>
      </c>
      <c r="AE95" s="26">
        <f>IF(AQ95="7",BI95,0)</f>
        <v>0</v>
      </c>
      <c r="AF95" s="26">
        <f>IF(AQ95="2",BH95,0)</f>
        <v>0</v>
      </c>
      <c r="AG95" s="26">
        <f>IF(AQ95="2",BI95,0)</f>
        <v>0</v>
      </c>
      <c r="AH95" s="26">
        <f>IF(AQ95="0",BJ95,0)</f>
        <v>0</v>
      </c>
      <c r="AI95" s="1" t="s">
        <v>356</v>
      </c>
      <c r="AJ95" s="26">
        <f>IF(AN95=0,L95,0)</f>
        <v>0</v>
      </c>
      <c r="AK95" s="26">
        <f>IF(AN95=15,L95,0)</f>
        <v>0</v>
      </c>
      <c r="AL95" s="26">
        <f>IF(AN95=21,L95,0)</f>
        <v>0</v>
      </c>
      <c r="AN95" s="26">
        <v>21</v>
      </c>
      <c r="AO95" s="26">
        <f>I95*0</f>
        <v>0</v>
      </c>
      <c r="AP95" s="26">
        <f>I95*(1-0)</f>
        <v>0</v>
      </c>
      <c r="AQ95" s="28" t="s">
        <v>539</v>
      </c>
      <c r="AV95" s="26">
        <f>AW95+AX95</f>
        <v>0</v>
      </c>
      <c r="AW95" s="26">
        <f>H95*AO95</f>
        <v>0</v>
      </c>
      <c r="AX95" s="26">
        <f>H95*AP95</f>
        <v>0</v>
      </c>
      <c r="AY95" s="28" t="s">
        <v>63</v>
      </c>
      <c r="AZ95" s="28" t="s">
        <v>281</v>
      </c>
      <c r="BA95" s="1" t="s">
        <v>397</v>
      </c>
      <c r="BC95" s="26">
        <f>AW95+AX95</f>
        <v>0</v>
      </c>
      <c r="BD95" s="26">
        <f>I95/(100-BE95)*100</f>
        <v>0</v>
      </c>
      <c r="BE95" s="26">
        <v>0</v>
      </c>
      <c r="BF95" s="26">
        <f>95</f>
        <v>95</v>
      </c>
      <c r="BH95" s="26">
        <f>H95*AO95</f>
        <v>0</v>
      </c>
      <c r="BI95" s="26">
        <f>H95*AP95</f>
        <v>0</v>
      </c>
      <c r="BJ95" s="26">
        <f>H95*I95</f>
        <v>0</v>
      </c>
      <c r="BK95" s="26"/>
      <c r="BL95" s="26">
        <v>766</v>
      </c>
    </row>
    <row r="96" spans="1:13" ht="15" customHeight="1">
      <c r="A96" s="31"/>
      <c r="C96" s="37" t="s">
        <v>440</v>
      </c>
      <c r="F96" s="37" t="s">
        <v>356</v>
      </c>
      <c r="H96" s="20">
        <v>2.3400000000000003</v>
      </c>
      <c r="M96" s="55"/>
    </row>
    <row r="97" spans="1:64" ht="15" customHeight="1">
      <c r="A97" s="33" t="s">
        <v>324</v>
      </c>
      <c r="B97" s="6" t="s">
        <v>136</v>
      </c>
      <c r="C97" s="62" t="s">
        <v>72</v>
      </c>
      <c r="D97" s="62"/>
      <c r="E97" s="62"/>
      <c r="F97" s="62"/>
      <c r="G97" s="6" t="s">
        <v>468</v>
      </c>
      <c r="H97" s="26">
        <v>1.5</v>
      </c>
      <c r="I97" s="26">
        <v>0</v>
      </c>
      <c r="J97" s="26">
        <f>H97*AO97</f>
        <v>0</v>
      </c>
      <c r="K97" s="26">
        <f>H97*AP97</f>
        <v>0</v>
      </c>
      <c r="L97" s="26">
        <f>H97*I97</f>
        <v>0</v>
      </c>
      <c r="M97" s="2" t="s">
        <v>197</v>
      </c>
      <c r="Z97" s="26">
        <f>IF(AQ97="5",BJ97,0)</f>
        <v>0</v>
      </c>
      <c r="AB97" s="26">
        <f>IF(AQ97="1",BH97,0)</f>
        <v>0</v>
      </c>
      <c r="AC97" s="26">
        <f>IF(AQ97="1",BI97,0)</f>
        <v>0</v>
      </c>
      <c r="AD97" s="26">
        <f>IF(AQ97="7",BH97,0)</f>
        <v>0</v>
      </c>
      <c r="AE97" s="26">
        <f>IF(AQ97="7",BI97,0)</f>
        <v>0</v>
      </c>
      <c r="AF97" s="26">
        <f>IF(AQ97="2",BH97,0)</f>
        <v>0</v>
      </c>
      <c r="AG97" s="26">
        <f>IF(AQ97="2",BI97,0)</f>
        <v>0</v>
      </c>
      <c r="AH97" s="26">
        <f>IF(AQ97="0",BJ97,0)</f>
        <v>0</v>
      </c>
      <c r="AI97" s="1" t="s">
        <v>356</v>
      </c>
      <c r="AJ97" s="26">
        <f>IF(AN97=0,L97,0)</f>
        <v>0</v>
      </c>
      <c r="AK97" s="26">
        <f>IF(AN97=15,L97,0)</f>
        <v>0</v>
      </c>
      <c r="AL97" s="26">
        <f>IF(AN97=21,L97,0)</f>
        <v>0</v>
      </c>
      <c r="AN97" s="26">
        <v>21</v>
      </c>
      <c r="AO97" s="26">
        <f>I97*0</f>
        <v>0</v>
      </c>
      <c r="AP97" s="26">
        <f>I97*(1-0)</f>
        <v>0</v>
      </c>
      <c r="AQ97" s="28" t="s">
        <v>279</v>
      </c>
      <c r="AV97" s="26">
        <f>AW97+AX97</f>
        <v>0</v>
      </c>
      <c r="AW97" s="26">
        <f>H97*AO97</f>
        <v>0</v>
      </c>
      <c r="AX97" s="26">
        <f>H97*AP97</f>
        <v>0</v>
      </c>
      <c r="AY97" s="28" t="s">
        <v>63</v>
      </c>
      <c r="AZ97" s="28" t="s">
        <v>281</v>
      </c>
      <c r="BA97" s="1" t="s">
        <v>397</v>
      </c>
      <c r="BC97" s="26">
        <f>AW97+AX97</f>
        <v>0</v>
      </c>
      <c r="BD97" s="26">
        <f>I97/(100-BE97)*100</f>
        <v>0</v>
      </c>
      <c r="BE97" s="26">
        <v>0</v>
      </c>
      <c r="BF97" s="26">
        <f>97</f>
        <v>97</v>
      </c>
      <c r="BH97" s="26">
        <f>H97*AO97</f>
        <v>0</v>
      </c>
      <c r="BI97" s="26">
        <f>H97*AP97</f>
        <v>0</v>
      </c>
      <c r="BJ97" s="26">
        <f>H97*I97</f>
        <v>0</v>
      </c>
      <c r="BK97" s="26"/>
      <c r="BL97" s="26">
        <v>766</v>
      </c>
    </row>
    <row r="98" spans="1:47" ht="15" customHeight="1">
      <c r="A98" s="34" t="s">
        <v>356</v>
      </c>
      <c r="B98" s="52" t="s">
        <v>586</v>
      </c>
      <c r="C98" s="77" t="s">
        <v>469</v>
      </c>
      <c r="D98" s="77"/>
      <c r="E98" s="77"/>
      <c r="F98" s="77"/>
      <c r="G98" s="5" t="s">
        <v>492</v>
      </c>
      <c r="H98" s="5" t="s">
        <v>492</v>
      </c>
      <c r="I98" s="5" t="s">
        <v>492</v>
      </c>
      <c r="J98" s="47">
        <f>SUM(J99:J105)</f>
        <v>0</v>
      </c>
      <c r="K98" s="47">
        <f>SUM(K99:K105)</f>
        <v>0</v>
      </c>
      <c r="L98" s="47">
        <f>SUM(L99:L105)</f>
        <v>0</v>
      </c>
      <c r="M98" s="13" t="s">
        <v>356</v>
      </c>
      <c r="AI98" s="1" t="s">
        <v>356</v>
      </c>
      <c r="AS98" s="47">
        <f>SUM(AJ99:AJ105)</f>
        <v>0</v>
      </c>
      <c r="AT98" s="47">
        <f>SUM(AK99:AK105)</f>
        <v>0</v>
      </c>
      <c r="AU98" s="47">
        <f>SUM(AL99:AL105)</f>
        <v>0</v>
      </c>
    </row>
    <row r="99" spans="1:64" ht="15" customHeight="1">
      <c r="A99" s="33" t="s">
        <v>505</v>
      </c>
      <c r="B99" s="6" t="s">
        <v>289</v>
      </c>
      <c r="C99" s="62" t="s">
        <v>264</v>
      </c>
      <c r="D99" s="62"/>
      <c r="E99" s="62"/>
      <c r="F99" s="62"/>
      <c r="G99" s="6" t="s">
        <v>528</v>
      </c>
      <c r="H99" s="26">
        <v>4.46</v>
      </c>
      <c r="I99" s="26">
        <v>0</v>
      </c>
      <c r="J99" s="26">
        <f>H99*AO99</f>
        <v>0</v>
      </c>
      <c r="K99" s="26">
        <f>H99*AP99</f>
        <v>0</v>
      </c>
      <c r="L99" s="26">
        <f>H99*I99</f>
        <v>0</v>
      </c>
      <c r="M99" s="2" t="s">
        <v>197</v>
      </c>
      <c r="Z99" s="26">
        <f>IF(AQ99="5",BJ99,0)</f>
        <v>0</v>
      </c>
      <c r="AB99" s="26">
        <f>IF(AQ99="1",BH99,0)</f>
        <v>0</v>
      </c>
      <c r="AC99" s="26">
        <f>IF(AQ99="1",BI99,0)</f>
        <v>0</v>
      </c>
      <c r="AD99" s="26">
        <f>IF(AQ99="7",BH99,0)</f>
        <v>0</v>
      </c>
      <c r="AE99" s="26">
        <f>IF(AQ99="7",BI99,0)</f>
        <v>0</v>
      </c>
      <c r="AF99" s="26">
        <f>IF(AQ99="2",BH99,0)</f>
        <v>0</v>
      </c>
      <c r="AG99" s="26">
        <f>IF(AQ99="2",BI99,0)</f>
        <v>0</v>
      </c>
      <c r="AH99" s="26">
        <f>IF(AQ99="0",BJ99,0)</f>
        <v>0</v>
      </c>
      <c r="AI99" s="1" t="s">
        <v>356</v>
      </c>
      <c r="AJ99" s="26">
        <f>IF(AN99=0,L99,0)</f>
        <v>0</v>
      </c>
      <c r="AK99" s="26">
        <f>IF(AN99=15,L99,0)</f>
        <v>0</v>
      </c>
      <c r="AL99" s="26">
        <f>IF(AN99=21,L99,0)</f>
        <v>0</v>
      </c>
      <c r="AN99" s="26">
        <v>21</v>
      </c>
      <c r="AO99" s="26">
        <f>I99*0</f>
        <v>0</v>
      </c>
      <c r="AP99" s="26">
        <f>I99*(1-0)</f>
        <v>0</v>
      </c>
      <c r="AQ99" s="28" t="s">
        <v>539</v>
      </c>
      <c r="AV99" s="26">
        <f>AW99+AX99</f>
        <v>0</v>
      </c>
      <c r="AW99" s="26">
        <f>H99*AO99</f>
        <v>0</v>
      </c>
      <c r="AX99" s="26">
        <f>H99*AP99</f>
        <v>0</v>
      </c>
      <c r="AY99" s="28" t="s">
        <v>553</v>
      </c>
      <c r="AZ99" s="28" t="s">
        <v>135</v>
      </c>
      <c r="BA99" s="1" t="s">
        <v>397</v>
      </c>
      <c r="BC99" s="26">
        <f>AW99+AX99</f>
        <v>0</v>
      </c>
      <c r="BD99" s="26">
        <f>I99/(100-BE99)*100</f>
        <v>0</v>
      </c>
      <c r="BE99" s="26">
        <v>0</v>
      </c>
      <c r="BF99" s="26">
        <f>99</f>
        <v>99</v>
      </c>
      <c r="BH99" s="26">
        <f>H99*AO99</f>
        <v>0</v>
      </c>
      <c r="BI99" s="26">
        <f>H99*AP99</f>
        <v>0</v>
      </c>
      <c r="BJ99" s="26">
        <f>H99*I99</f>
        <v>0</v>
      </c>
      <c r="BK99" s="26"/>
      <c r="BL99" s="26">
        <v>771</v>
      </c>
    </row>
    <row r="100" spans="1:13" ht="15" customHeight="1">
      <c r="A100" s="31"/>
      <c r="C100" s="37" t="s">
        <v>583</v>
      </c>
      <c r="F100" s="37" t="s">
        <v>356</v>
      </c>
      <c r="H100" s="20">
        <v>4.46</v>
      </c>
      <c r="M100" s="55"/>
    </row>
    <row r="101" spans="1:64" ht="15" customHeight="1">
      <c r="A101" s="33" t="s">
        <v>305</v>
      </c>
      <c r="B101" s="6" t="s">
        <v>60</v>
      </c>
      <c r="C101" s="62" t="s">
        <v>161</v>
      </c>
      <c r="D101" s="62"/>
      <c r="E101" s="62"/>
      <c r="F101" s="62"/>
      <c r="G101" s="6" t="s">
        <v>528</v>
      </c>
      <c r="H101" s="26">
        <v>4.46</v>
      </c>
      <c r="I101" s="26">
        <v>0</v>
      </c>
      <c r="J101" s="26">
        <f>H101*AO101</f>
        <v>0</v>
      </c>
      <c r="K101" s="26">
        <f>H101*AP101</f>
        <v>0</v>
      </c>
      <c r="L101" s="26">
        <f>H101*I101</f>
        <v>0</v>
      </c>
      <c r="M101" s="2" t="s">
        <v>197</v>
      </c>
      <c r="Z101" s="26">
        <f>IF(AQ101="5",BJ101,0)</f>
        <v>0</v>
      </c>
      <c r="AB101" s="26">
        <f>IF(AQ101="1",BH101,0)</f>
        <v>0</v>
      </c>
      <c r="AC101" s="26">
        <f>IF(AQ101="1",BI101,0)</f>
        <v>0</v>
      </c>
      <c r="AD101" s="26">
        <f>IF(AQ101="7",BH101,0)</f>
        <v>0</v>
      </c>
      <c r="AE101" s="26">
        <f>IF(AQ101="7",BI101,0)</f>
        <v>0</v>
      </c>
      <c r="AF101" s="26">
        <f>IF(AQ101="2",BH101,0)</f>
        <v>0</v>
      </c>
      <c r="AG101" s="26">
        <f>IF(AQ101="2",BI101,0)</f>
        <v>0</v>
      </c>
      <c r="AH101" s="26">
        <f>IF(AQ101="0",BJ101,0)</f>
        <v>0</v>
      </c>
      <c r="AI101" s="1" t="s">
        <v>356</v>
      </c>
      <c r="AJ101" s="26">
        <f>IF(AN101=0,L101,0)</f>
        <v>0</v>
      </c>
      <c r="AK101" s="26">
        <f>IF(AN101=15,L101,0)</f>
        <v>0</v>
      </c>
      <c r="AL101" s="26">
        <f>IF(AN101=21,L101,0)</f>
        <v>0</v>
      </c>
      <c r="AN101" s="26">
        <v>21</v>
      </c>
      <c r="AO101" s="26">
        <f>I101*0.159916356519507</f>
        <v>0</v>
      </c>
      <c r="AP101" s="26">
        <f>I101*(1-0.159916356519507)</f>
        <v>0</v>
      </c>
      <c r="AQ101" s="28" t="s">
        <v>539</v>
      </c>
      <c r="AV101" s="26">
        <f>AW101+AX101</f>
        <v>0</v>
      </c>
      <c r="AW101" s="26">
        <f>H101*AO101</f>
        <v>0</v>
      </c>
      <c r="AX101" s="26">
        <f>H101*AP101</f>
        <v>0</v>
      </c>
      <c r="AY101" s="28" t="s">
        <v>553</v>
      </c>
      <c r="AZ101" s="28" t="s">
        <v>135</v>
      </c>
      <c r="BA101" s="1" t="s">
        <v>397</v>
      </c>
      <c r="BC101" s="26">
        <f>AW101+AX101</f>
        <v>0</v>
      </c>
      <c r="BD101" s="26">
        <f>I101/(100-BE101)*100</f>
        <v>0</v>
      </c>
      <c r="BE101" s="26">
        <v>0</v>
      </c>
      <c r="BF101" s="26">
        <f>101</f>
        <v>101</v>
      </c>
      <c r="BH101" s="26">
        <f>H101*AO101</f>
        <v>0</v>
      </c>
      <c r="BI101" s="26">
        <f>H101*AP101</f>
        <v>0</v>
      </c>
      <c r="BJ101" s="26">
        <f>H101*I101</f>
        <v>0</v>
      </c>
      <c r="BK101" s="26"/>
      <c r="BL101" s="26">
        <v>771</v>
      </c>
    </row>
    <row r="102" spans="1:13" ht="15" customHeight="1">
      <c r="A102" s="31"/>
      <c r="C102" s="37" t="s">
        <v>583</v>
      </c>
      <c r="F102" s="37" t="s">
        <v>356</v>
      </c>
      <c r="H102" s="20">
        <v>4.46</v>
      </c>
      <c r="M102" s="55"/>
    </row>
    <row r="103" spans="1:64" ht="15" customHeight="1">
      <c r="A103" s="33" t="s">
        <v>240</v>
      </c>
      <c r="B103" s="6" t="s">
        <v>525</v>
      </c>
      <c r="C103" s="62" t="s">
        <v>71</v>
      </c>
      <c r="D103" s="62"/>
      <c r="E103" s="62"/>
      <c r="F103" s="62"/>
      <c r="G103" s="6" t="s">
        <v>528</v>
      </c>
      <c r="H103" s="26">
        <v>4.549</v>
      </c>
      <c r="I103" s="26">
        <v>0</v>
      </c>
      <c r="J103" s="26">
        <f>H103*AO103</f>
        <v>0</v>
      </c>
      <c r="K103" s="26">
        <f>H103*AP103</f>
        <v>0</v>
      </c>
      <c r="L103" s="26">
        <f>H103*I103</f>
        <v>0</v>
      </c>
      <c r="M103" s="2" t="s">
        <v>197</v>
      </c>
      <c r="Z103" s="26">
        <f>IF(AQ103="5",BJ103,0)</f>
        <v>0</v>
      </c>
      <c r="AB103" s="26">
        <f>IF(AQ103="1",BH103,0)</f>
        <v>0</v>
      </c>
      <c r="AC103" s="26">
        <f>IF(AQ103="1",BI103,0)</f>
        <v>0</v>
      </c>
      <c r="AD103" s="26">
        <f>IF(AQ103="7",BH103,0)</f>
        <v>0</v>
      </c>
      <c r="AE103" s="26">
        <f>IF(AQ103="7",BI103,0)</f>
        <v>0</v>
      </c>
      <c r="AF103" s="26">
        <f>IF(AQ103="2",BH103,0)</f>
        <v>0</v>
      </c>
      <c r="AG103" s="26">
        <f>IF(AQ103="2",BI103,0)</f>
        <v>0</v>
      </c>
      <c r="AH103" s="26">
        <f>IF(AQ103="0",BJ103,0)</f>
        <v>0</v>
      </c>
      <c r="AI103" s="1" t="s">
        <v>356</v>
      </c>
      <c r="AJ103" s="26">
        <f>IF(AN103=0,L103,0)</f>
        <v>0</v>
      </c>
      <c r="AK103" s="26">
        <f>IF(AN103=15,L103,0)</f>
        <v>0</v>
      </c>
      <c r="AL103" s="26">
        <f>IF(AN103=21,L103,0)</f>
        <v>0</v>
      </c>
      <c r="AN103" s="26">
        <v>21</v>
      </c>
      <c r="AO103" s="26">
        <f>I103*1</f>
        <v>0</v>
      </c>
      <c r="AP103" s="26">
        <f>I103*(1-1)</f>
        <v>0</v>
      </c>
      <c r="AQ103" s="28" t="s">
        <v>539</v>
      </c>
      <c r="AV103" s="26">
        <f>AW103+AX103</f>
        <v>0</v>
      </c>
      <c r="AW103" s="26">
        <f>H103*AO103</f>
        <v>0</v>
      </c>
      <c r="AX103" s="26">
        <f>H103*AP103</f>
        <v>0</v>
      </c>
      <c r="AY103" s="28" t="s">
        <v>553</v>
      </c>
      <c r="AZ103" s="28" t="s">
        <v>135</v>
      </c>
      <c r="BA103" s="1" t="s">
        <v>397</v>
      </c>
      <c r="BC103" s="26">
        <f>AW103+AX103</f>
        <v>0</v>
      </c>
      <c r="BD103" s="26">
        <f>I103/(100-BE103)*100</f>
        <v>0</v>
      </c>
      <c r="BE103" s="26">
        <v>0</v>
      </c>
      <c r="BF103" s="26">
        <f>103</f>
        <v>103</v>
      </c>
      <c r="BH103" s="26">
        <f>H103*AO103</f>
        <v>0</v>
      </c>
      <c r="BI103" s="26">
        <f>H103*AP103</f>
        <v>0</v>
      </c>
      <c r="BJ103" s="26">
        <f>H103*I103</f>
        <v>0</v>
      </c>
      <c r="BK103" s="26"/>
      <c r="BL103" s="26">
        <v>771</v>
      </c>
    </row>
    <row r="104" spans="1:13" ht="15" customHeight="1">
      <c r="A104" s="31"/>
      <c r="C104" s="37" t="s">
        <v>336</v>
      </c>
      <c r="F104" s="37" t="s">
        <v>356</v>
      </c>
      <c r="H104" s="20">
        <v>4.549</v>
      </c>
      <c r="M104" s="55"/>
    </row>
    <row r="105" spans="1:64" ht="15" customHeight="1">
      <c r="A105" s="33" t="s">
        <v>77</v>
      </c>
      <c r="B105" s="6" t="s">
        <v>73</v>
      </c>
      <c r="C105" s="62" t="s">
        <v>299</v>
      </c>
      <c r="D105" s="62"/>
      <c r="E105" s="62"/>
      <c r="F105" s="62"/>
      <c r="G105" s="6" t="s">
        <v>468</v>
      </c>
      <c r="H105" s="26">
        <v>6.7</v>
      </c>
      <c r="I105" s="26">
        <v>0</v>
      </c>
      <c r="J105" s="26">
        <f>H105*AO105</f>
        <v>0</v>
      </c>
      <c r="K105" s="26">
        <f>H105*AP105</f>
        <v>0</v>
      </c>
      <c r="L105" s="26">
        <f>H105*I105</f>
        <v>0</v>
      </c>
      <c r="M105" s="2" t="s">
        <v>197</v>
      </c>
      <c r="Z105" s="26">
        <f>IF(AQ105="5",BJ105,0)</f>
        <v>0</v>
      </c>
      <c r="AB105" s="26">
        <f>IF(AQ105="1",BH105,0)</f>
        <v>0</v>
      </c>
      <c r="AC105" s="26">
        <f>IF(AQ105="1",BI105,0)</f>
        <v>0</v>
      </c>
      <c r="AD105" s="26">
        <f>IF(AQ105="7",BH105,0)</f>
        <v>0</v>
      </c>
      <c r="AE105" s="26">
        <f>IF(AQ105="7",BI105,0)</f>
        <v>0</v>
      </c>
      <c r="AF105" s="26">
        <f>IF(AQ105="2",BH105,0)</f>
        <v>0</v>
      </c>
      <c r="AG105" s="26">
        <f>IF(AQ105="2",BI105,0)</f>
        <v>0</v>
      </c>
      <c r="AH105" s="26">
        <f>IF(AQ105="0",BJ105,0)</f>
        <v>0</v>
      </c>
      <c r="AI105" s="1" t="s">
        <v>356</v>
      </c>
      <c r="AJ105" s="26">
        <f>IF(AN105=0,L105,0)</f>
        <v>0</v>
      </c>
      <c r="AK105" s="26">
        <f>IF(AN105=15,L105,0)</f>
        <v>0</v>
      </c>
      <c r="AL105" s="26">
        <f>IF(AN105=21,L105,0)</f>
        <v>0</v>
      </c>
      <c r="AN105" s="26">
        <v>21</v>
      </c>
      <c r="AO105" s="26">
        <f>I105*0</f>
        <v>0</v>
      </c>
      <c r="AP105" s="26">
        <f>I105*(1-0)</f>
        <v>0</v>
      </c>
      <c r="AQ105" s="28" t="s">
        <v>279</v>
      </c>
      <c r="AV105" s="26">
        <f>AW105+AX105</f>
        <v>0</v>
      </c>
      <c r="AW105" s="26">
        <f>H105*AO105</f>
        <v>0</v>
      </c>
      <c r="AX105" s="26">
        <f>H105*AP105</f>
        <v>0</v>
      </c>
      <c r="AY105" s="28" t="s">
        <v>553</v>
      </c>
      <c r="AZ105" s="28" t="s">
        <v>135</v>
      </c>
      <c r="BA105" s="1" t="s">
        <v>397</v>
      </c>
      <c r="BC105" s="26">
        <f>AW105+AX105</f>
        <v>0</v>
      </c>
      <c r="BD105" s="26">
        <f>I105/(100-BE105)*100</f>
        <v>0</v>
      </c>
      <c r="BE105" s="26">
        <v>0</v>
      </c>
      <c r="BF105" s="26">
        <f>105</f>
        <v>105</v>
      </c>
      <c r="BH105" s="26">
        <f>H105*AO105</f>
        <v>0</v>
      </c>
      <c r="BI105" s="26">
        <f>H105*AP105</f>
        <v>0</v>
      </c>
      <c r="BJ105" s="26">
        <f>H105*I105</f>
        <v>0</v>
      </c>
      <c r="BK105" s="26"/>
      <c r="BL105" s="26">
        <v>771</v>
      </c>
    </row>
    <row r="106" spans="1:47" ht="15" customHeight="1">
      <c r="A106" s="34" t="s">
        <v>356</v>
      </c>
      <c r="B106" s="52" t="s">
        <v>410</v>
      </c>
      <c r="C106" s="77" t="s">
        <v>345</v>
      </c>
      <c r="D106" s="77"/>
      <c r="E106" s="77"/>
      <c r="F106" s="77"/>
      <c r="G106" s="5" t="s">
        <v>492</v>
      </c>
      <c r="H106" s="5" t="s">
        <v>492</v>
      </c>
      <c r="I106" s="5" t="s">
        <v>492</v>
      </c>
      <c r="J106" s="47">
        <f>SUM(J107:J117)</f>
        <v>0</v>
      </c>
      <c r="K106" s="47">
        <f>SUM(K107:K117)</f>
        <v>0</v>
      </c>
      <c r="L106" s="47">
        <f>SUM(L107:L117)</f>
        <v>0</v>
      </c>
      <c r="M106" s="13" t="s">
        <v>356</v>
      </c>
      <c r="AI106" s="1" t="s">
        <v>356</v>
      </c>
      <c r="AS106" s="47">
        <f>SUM(AJ107:AJ117)</f>
        <v>0</v>
      </c>
      <c r="AT106" s="47">
        <f>SUM(AK107:AK117)</f>
        <v>0</v>
      </c>
      <c r="AU106" s="47">
        <f>SUM(AL107:AL117)</f>
        <v>0</v>
      </c>
    </row>
    <row r="107" spans="1:64" ht="15" customHeight="1">
      <c r="A107" s="33" t="s">
        <v>376</v>
      </c>
      <c r="B107" s="6" t="s">
        <v>339</v>
      </c>
      <c r="C107" s="62" t="s">
        <v>513</v>
      </c>
      <c r="D107" s="62"/>
      <c r="E107" s="62"/>
      <c r="F107" s="62"/>
      <c r="G107" s="6" t="s">
        <v>528</v>
      </c>
      <c r="H107" s="26">
        <v>48.6</v>
      </c>
      <c r="I107" s="26">
        <v>0</v>
      </c>
      <c r="J107" s="26">
        <f>H107*AO107</f>
        <v>0</v>
      </c>
      <c r="K107" s="26">
        <f>H107*AP107</f>
        <v>0</v>
      </c>
      <c r="L107" s="26">
        <f>H107*I107</f>
        <v>0</v>
      </c>
      <c r="M107" s="2" t="s">
        <v>197</v>
      </c>
      <c r="Z107" s="26">
        <f>IF(AQ107="5",BJ107,0)</f>
        <v>0</v>
      </c>
      <c r="AB107" s="26">
        <f>IF(AQ107="1",BH107,0)</f>
        <v>0</v>
      </c>
      <c r="AC107" s="26">
        <f>IF(AQ107="1",BI107,0)</f>
        <v>0</v>
      </c>
      <c r="AD107" s="26">
        <f>IF(AQ107="7",BH107,0)</f>
        <v>0</v>
      </c>
      <c r="AE107" s="26">
        <f>IF(AQ107="7",BI107,0)</f>
        <v>0</v>
      </c>
      <c r="AF107" s="26">
        <f>IF(AQ107="2",BH107,0)</f>
        <v>0</v>
      </c>
      <c r="AG107" s="26">
        <f>IF(AQ107="2",BI107,0)</f>
        <v>0</v>
      </c>
      <c r="AH107" s="26">
        <f>IF(AQ107="0",BJ107,0)</f>
        <v>0</v>
      </c>
      <c r="AI107" s="1" t="s">
        <v>356</v>
      </c>
      <c r="AJ107" s="26">
        <f>IF(AN107=0,L107,0)</f>
        <v>0</v>
      </c>
      <c r="AK107" s="26">
        <f>IF(AN107=15,L107,0)</f>
        <v>0</v>
      </c>
      <c r="AL107" s="26">
        <f>IF(AN107=21,L107,0)</f>
        <v>0</v>
      </c>
      <c r="AN107" s="26">
        <v>21</v>
      </c>
      <c r="AO107" s="26">
        <f>I107*0</f>
        <v>0</v>
      </c>
      <c r="AP107" s="26">
        <f>I107*(1-0)</f>
        <v>0</v>
      </c>
      <c r="AQ107" s="28" t="s">
        <v>539</v>
      </c>
      <c r="AV107" s="26">
        <f>AW107+AX107</f>
        <v>0</v>
      </c>
      <c r="AW107" s="26">
        <f>H107*AO107</f>
        <v>0</v>
      </c>
      <c r="AX107" s="26">
        <f>H107*AP107</f>
        <v>0</v>
      </c>
      <c r="AY107" s="28" t="s">
        <v>112</v>
      </c>
      <c r="AZ107" s="28" t="s">
        <v>135</v>
      </c>
      <c r="BA107" s="1" t="s">
        <v>397</v>
      </c>
      <c r="BC107" s="26">
        <f>AW107+AX107</f>
        <v>0</v>
      </c>
      <c r="BD107" s="26">
        <f>I107/(100-BE107)*100</f>
        <v>0</v>
      </c>
      <c r="BE107" s="26">
        <v>0</v>
      </c>
      <c r="BF107" s="26">
        <f>107</f>
        <v>107</v>
      </c>
      <c r="BH107" s="26">
        <f>H107*AO107</f>
        <v>0</v>
      </c>
      <c r="BI107" s="26">
        <f>H107*AP107</f>
        <v>0</v>
      </c>
      <c r="BJ107" s="26">
        <f>H107*I107</f>
        <v>0</v>
      </c>
      <c r="BK107" s="26"/>
      <c r="BL107" s="26">
        <v>776</v>
      </c>
    </row>
    <row r="108" spans="1:13" ht="15" customHeight="1">
      <c r="A108" s="31"/>
      <c r="C108" s="37" t="s">
        <v>547</v>
      </c>
      <c r="F108" s="37" t="s">
        <v>356</v>
      </c>
      <c r="H108" s="20">
        <v>48.6</v>
      </c>
      <c r="M108" s="55"/>
    </row>
    <row r="109" spans="1:64" ht="15" customHeight="1">
      <c r="A109" s="33" t="s">
        <v>596</v>
      </c>
      <c r="B109" s="6" t="s">
        <v>341</v>
      </c>
      <c r="C109" s="62" t="s">
        <v>331</v>
      </c>
      <c r="D109" s="62"/>
      <c r="E109" s="62"/>
      <c r="F109" s="62"/>
      <c r="G109" s="6" t="s">
        <v>438</v>
      </c>
      <c r="H109" s="26">
        <v>44.898</v>
      </c>
      <c r="I109" s="26">
        <v>0</v>
      </c>
      <c r="J109" s="26">
        <f>H109*AO109</f>
        <v>0</v>
      </c>
      <c r="K109" s="26">
        <f>H109*AP109</f>
        <v>0</v>
      </c>
      <c r="L109" s="26">
        <f>H109*I109</f>
        <v>0</v>
      </c>
      <c r="M109" s="2" t="s">
        <v>197</v>
      </c>
      <c r="Z109" s="26">
        <f>IF(AQ109="5",BJ109,0)</f>
        <v>0</v>
      </c>
      <c r="AB109" s="26">
        <f>IF(AQ109="1",BH109,0)</f>
        <v>0</v>
      </c>
      <c r="AC109" s="26">
        <f>IF(AQ109="1",BI109,0)</f>
        <v>0</v>
      </c>
      <c r="AD109" s="26">
        <f>IF(AQ109="7",BH109,0)</f>
        <v>0</v>
      </c>
      <c r="AE109" s="26">
        <f>IF(AQ109="7",BI109,0)</f>
        <v>0</v>
      </c>
      <c r="AF109" s="26">
        <f>IF(AQ109="2",BH109,0)</f>
        <v>0</v>
      </c>
      <c r="AG109" s="26">
        <f>IF(AQ109="2",BI109,0)</f>
        <v>0</v>
      </c>
      <c r="AH109" s="26">
        <f>IF(AQ109="0",BJ109,0)</f>
        <v>0</v>
      </c>
      <c r="AI109" s="1" t="s">
        <v>356</v>
      </c>
      <c r="AJ109" s="26">
        <f>IF(AN109=0,L109,0)</f>
        <v>0</v>
      </c>
      <c r="AK109" s="26">
        <f>IF(AN109=15,L109,0)</f>
        <v>0</v>
      </c>
      <c r="AL109" s="26">
        <f>IF(AN109=21,L109,0)</f>
        <v>0</v>
      </c>
      <c r="AN109" s="26">
        <v>21</v>
      </c>
      <c r="AO109" s="26">
        <f>I109*0</f>
        <v>0</v>
      </c>
      <c r="AP109" s="26">
        <f>I109*(1-0)</f>
        <v>0</v>
      </c>
      <c r="AQ109" s="28" t="s">
        <v>539</v>
      </c>
      <c r="AV109" s="26">
        <f>AW109+AX109</f>
        <v>0</v>
      </c>
      <c r="AW109" s="26">
        <f>H109*AO109</f>
        <v>0</v>
      </c>
      <c r="AX109" s="26">
        <f>H109*AP109</f>
        <v>0</v>
      </c>
      <c r="AY109" s="28" t="s">
        <v>112</v>
      </c>
      <c r="AZ109" s="28" t="s">
        <v>135</v>
      </c>
      <c r="BA109" s="1" t="s">
        <v>397</v>
      </c>
      <c r="BC109" s="26">
        <f>AW109+AX109</f>
        <v>0</v>
      </c>
      <c r="BD109" s="26">
        <f>I109/(100-BE109)*100</f>
        <v>0</v>
      </c>
      <c r="BE109" s="26">
        <v>0</v>
      </c>
      <c r="BF109" s="26">
        <f>109</f>
        <v>109</v>
      </c>
      <c r="BH109" s="26">
        <f>H109*AO109</f>
        <v>0</v>
      </c>
      <c r="BI109" s="26">
        <f>H109*AP109</f>
        <v>0</v>
      </c>
      <c r="BJ109" s="26">
        <f>H109*I109</f>
        <v>0</v>
      </c>
      <c r="BK109" s="26"/>
      <c r="BL109" s="26">
        <v>776</v>
      </c>
    </row>
    <row r="110" spans="1:13" ht="15" customHeight="1">
      <c r="A110" s="31"/>
      <c r="C110" s="37" t="s">
        <v>453</v>
      </c>
      <c r="F110" s="37" t="s">
        <v>356</v>
      </c>
      <c r="H110" s="20">
        <v>44.898</v>
      </c>
      <c r="M110" s="55"/>
    </row>
    <row r="111" spans="1:64" ht="15" customHeight="1">
      <c r="A111" s="33" t="s">
        <v>130</v>
      </c>
      <c r="B111" s="6" t="s">
        <v>211</v>
      </c>
      <c r="C111" s="62" t="s">
        <v>188</v>
      </c>
      <c r="D111" s="62"/>
      <c r="E111" s="62"/>
      <c r="F111" s="62"/>
      <c r="G111" s="6" t="s">
        <v>438</v>
      </c>
      <c r="H111" s="26">
        <v>44.898</v>
      </c>
      <c r="I111" s="26">
        <v>0</v>
      </c>
      <c r="J111" s="26">
        <f>H111*AO111</f>
        <v>0</v>
      </c>
      <c r="K111" s="26">
        <f>H111*AP111</f>
        <v>0</v>
      </c>
      <c r="L111" s="26">
        <f>H111*I111</f>
        <v>0</v>
      </c>
      <c r="M111" s="2" t="s">
        <v>197</v>
      </c>
      <c r="Z111" s="26">
        <f>IF(AQ111="5",BJ111,0)</f>
        <v>0</v>
      </c>
      <c r="AB111" s="26">
        <f>IF(AQ111="1",BH111,0)</f>
        <v>0</v>
      </c>
      <c r="AC111" s="26">
        <f>IF(AQ111="1",BI111,0)</f>
        <v>0</v>
      </c>
      <c r="AD111" s="26">
        <f>IF(AQ111="7",BH111,0)</f>
        <v>0</v>
      </c>
      <c r="AE111" s="26">
        <f>IF(AQ111="7",BI111,0)</f>
        <v>0</v>
      </c>
      <c r="AF111" s="26">
        <f>IF(AQ111="2",BH111,0)</f>
        <v>0</v>
      </c>
      <c r="AG111" s="26">
        <f>IF(AQ111="2",BI111,0)</f>
        <v>0</v>
      </c>
      <c r="AH111" s="26">
        <f>IF(AQ111="0",BJ111,0)</f>
        <v>0</v>
      </c>
      <c r="AI111" s="1" t="s">
        <v>356</v>
      </c>
      <c r="AJ111" s="26">
        <f>IF(AN111=0,L111,0)</f>
        <v>0</v>
      </c>
      <c r="AK111" s="26">
        <f>IF(AN111=15,L111,0)</f>
        <v>0</v>
      </c>
      <c r="AL111" s="26">
        <f>IF(AN111=21,L111,0)</f>
        <v>0</v>
      </c>
      <c r="AN111" s="26">
        <v>21</v>
      </c>
      <c r="AO111" s="26">
        <f>I111*0.322000292727273</f>
        <v>0</v>
      </c>
      <c r="AP111" s="26">
        <f>I111*(1-0.322000292727273)</f>
        <v>0</v>
      </c>
      <c r="AQ111" s="28" t="s">
        <v>539</v>
      </c>
      <c r="AV111" s="26">
        <f>AW111+AX111</f>
        <v>0</v>
      </c>
      <c r="AW111" s="26">
        <f>H111*AO111</f>
        <v>0</v>
      </c>
      <c r="AX111" s="26">
        <f>H111*AP111</f>
        <v>0</v>
      </c>
      <c r="AY111" s="28" t="s">
        <v>112</v>
      </c>
      <c r="AZ111" s="28" t="s">
        <v>135</v>
      </c>
      <c r="BA111" s="1" t="s">
        <v>397</v>
      </c>
      <c r="BC111" s="26">
        <f>AW111+AX111</f>
        <v>0</v>
      </c>
      <c r="BD111" s="26">
        <f>I111/(100-BE111)*100</f>
        <v>0</v>
      </c>
      <c r="BE111" s="26">
        <v>0</v>
      </c>
      <c r="BF111" s="26">
        <f>111</f>
        <v>111</v>
      </c>
      <c r="BH111" s="26">
        <f>H111*AO111</f>
        <v>0</v>
      </c>
      <c r="BI111" s="26">
        <f>H111*AP111</f>
        <v>0</v>
      </c>
      <c r="BJ111" s="26">
        <f>H111*I111</f>
        <v>0</v>
      </c>
      <c r="BK111" s="26"/>
      <c r="BL111" s="26">
        <v>776</v>
      </c>
    </row>
    <row r="112" spans="1:13" ht="15" customHeight="1">
      <c r="A112" s="31"/>
      <c r="C112" s="37" t="s">
        <v>453</v>
      </c>
      <c r="F112" s="37" t="s">
        <v>356</v>
      </c>
      <c r="H112" s="20">
        <v>44.898</v>
      </c>
      <c r="M112" s="55"/>
    </row>
    <row r="113" spans="1:64" ht="15" customHeight="1">
      <c r="A113" s="33" t="s">
        <v>259</v>
      </c>
      <c r="B113" s="6" t="s">
        <v>602</v>
      </c>
      <c r="C113" s="62" t="s">
        <v>120</v>
      </c>
      <c r="D113" s="62"/>
      <c r="E113" s="62"/>
      <c r="F113" s="62"/>
      <c r="G113" s="6" t="s">
        <v>438</v>
      </c>
      <c r="H113" s="26">
        <v>1.2</v>
      </c>
      <c r="I113" s="26">
        <v>0</v>
      </c>
      <c r="J113" s="26">
        <f>H113*AO113</f>
        <v>0</v>
      </c>
      <c r="K113" s="26">
        <f>H113*AP113</f>
        <v>0</v>
      </c>
      <c r="L113" s="26">
        <f>H113*I113</f>
        <v>0</v>
      </c>
      <c r="M113" s="2" t="s">
        <v>197</v>
      </c>
      <c r="Z113" s="26">
        <f>IF(AQ113="5",BJ113,0)</f>
        <v>0</v>
      </c>
      <c r="AB113" s="26">
        <f>IF(AQ113="1",BH113,0)</f>
        <v>0</v>
      </c>
      <c r="AC113" s="26">
        <f>IF(AQ113="1",BI113,0)</f>
        <v>0</v>
      </c>
      <c r="AD113" s="26">
        <f>IF(AQ113="7",BH113,0)</f>
        <v>0</v>
      </c>
      <c r="AE113" s="26">
        <f>IF(AQ113="7",BI113,0)</f>
        <v>0</v>
      </c>
      <c r="AF113" s="26">
        <f>IF(AQ113="2",BH113,0)</f>
        <v>0</v>
      </c>
      <c r="AG113" s="26">
        <f>IF(AQ113="2",BI113,0)</f>
        <v>0</v>
      </c>
      <c r="AH113" s="26">
        <f>IF(AQ113="0",BJ113,0)</f>
        <v>0</v>
      </c>
      <c r="AI113" s="1" t="s">
        <v>356</v>
      </c>
      <c r="AJ113" s="26">
        <f>IF(AN113=0,L113,0)</f>
        <v>0</v>
      </c>
      <c r="AK113" s="26">
        <f>IF(AN113=15,L113,0)</f>
        <v>0</v>
      </c>
      <c r="AL113" s="26">
        <f>IF(AN113=21,L113,0)</f>
        <v>0</v>
      </c>
      <c r="AN113" s="26">
        <v>21</v>
      </c>
      <c r="AO113" s="26">
        <f>I113*0.611428571428572</f>
        <v>0</v>
      </c>
      <c r="AP113" s="26">
        <f>I113*(1-0.611428571428572)</f>
        <v>0</v>
      </c>
      <c r="AQ113" s="28" t="s">
        <v>539</v>
      </c>
      <c r="AV113" s="26">
        <f>AW113+AX113</f>
        <v>0</v>
      </c>
      <c r="AW113" s="26">
        <f>H113*AO113</f>
        <v>0</v>
      </c>
      <c r="AX113" s="26">
        <f>H113*AP113</f>
        <v>0</v>
      </c>
      <c r="AY113" s="28" t="s">
        <v>112</v>
      </c>
      <c r="AZ113" s="28" t="s">
        <v>135</v>
      </c>
      <c r="BA113" s="1" t="s">
        <v>397</v>
      </c>
      <c r="BC113" s="26">
        <f>AW113+AX113</f>
        <v>0</v>
      </c>
      <c r="BD113" s="26">
        <f>I113/(100-BE113)*100</f>
        <v>0</v>
      </c>
      <c r="BE113" s="26">
        <v>0</v>
      </c>
      <c r="BF113" s="26">
        <f>113</f>
        <v>113</v>
      </c>
      <c r="BH113" s="26">
        <f>H113*AO113</f>
        <v>0</v>
      </c>
      <c r="BI113" s="26">
        <f>H113*AP113</f>
        <v>0</v>
      </c>
      <c r="BJ113" s="26">
        <f>H113*I113</f>
        <v>0</v>
      </c>
      <c r="BK113" s="26"/>
      <c r="BL113" s="26">
        <v>776</v>
      </c>
    </row>
    <row r="114" spans="1:13" ht="15" customHeight="1">
      <c r="A114" s="31"/>
      <c r="C114" s="37" t="s">
        <v>457</v>
      </c>
      <c r="F114" s="37" t="s">
        <v>356</v>
      </c>
      <c r="H114" s="20">
        <v>1.2000000000000002</v>
      </c>
      <c r="M114" s="55"/>
    </row>
    <row r="115" spans="1:64" ht="15" customHeight="1">
      <c r="A115" s="33" t="s">
        <v>593</v>
      </c>
      <c r="B115" s="6" t="s">
        <v>132</v>
      </c>
      <c r="C115" s="62" t="s">
        <v>236</v>
      </c>
      <c r="D115" s="62"/>
      <c r="E115" s="62"/>
      <c r="F115" s="62"/>
      <c r="G115" s="6" t="s">
        <v>528</v>
      </c>
      <c r="H115" s="26">
        <v>48.6</v>
      </c>
      <c r="I115" s="26">
        <v>0</v>
      </c>
      <c r="J115" s="26">
        <f>H115*AO115</f>
        <v>0</v>
      </c>
      <c r="K115" s="26">
        <f>H115*AP115</f>
        <v>0</v>
      </c>
      <c r="L115" s="26">
        <f>H115*I115</f>
        <v>0</v>
      </c>
      <c r="M115" s="2" t="s">
        <v>197</v>
      </c>
      <c r="Z115" s="26">
        <f>IF(AQ115="5",BJ115,0)</f>
        <v>0</v>
      </c>
      <c r="AB115" s="26">
        <f>IF(AQ115="1",BH115,0)</f>
        <v>0</v>
      </c>
      <c r="AC115" s="26">
        <f>IF(AQ115="1",BI115,0)</f>
        <v>0</v>
      </c>
      <c r="AD115" s="26">
        <f>IF(AQ115="7",BH115,0)</f>
        <v>0</v>
      </c>
      <c r="AE115" s="26">
        <f>IF(AQ115="7",BI115,0)</f>
        <v>0</v>
      </c>
      <c r="AF115" s="26">
        <f>IF(AQ115="2",BH115,0)</f>
        <v>0</v>
      </c>
      <c r="AG115" s="26">
        <f>IF(AQ115="2",BI115,0)</f>
        <v>0</v>
      </c>
      <c r="AH115" s="26">
        <f>IF(AQ115="0",BJ115,0)</f>
        <v>0</v>
      </c>
      <c r="AI115" s="1" t="s">
        <v>356</v>
      </c>
      <c r="AJ115" s="26">
        <f>IF(AN115=0,L115,0)</f>
        <v>0</v>
      </c>
      <c r="AK115" s="26">
        <f>IF(AN115=15,L115,0)</f>
        <v>0</v>
      </c>
      <c r="AL115" s="26">
        <f>IF(AN115=21,L115,0)</f>
        <v>0</v>
      </c>
      <c r="AN115" s="26">
        <v>21</v>
      </c>
      <c r="AO115" s="26">
        <f>I115*0.698013819242507</f>
        <v>0</v>
      </c>
      <c r="AP115" s="26">
        <f>I115*(1-0.698013819242507)</f>
        <v>0</v>
      </c>
      <c r="AQ115" s="28" t="s">
        <v>539</v>
      </c>
      <c r="AV115" s="26">
        <f>AW115+AX115</f>
        <v>0</v>
      </c>
      <c r="AW115" s="26">
        <f>H115*AO115</f>
        <v>0</v>
      </c>
      <c r="AX115" s="26">
        <f>H115*AP115</f>
        <v>0</v>
      </c>
      <c r="AY115" s="28" t="s">
        <v>112</v>
      </c>
      <c r="AZ115" s="28" t="s">
        <v>135</v>
      </c>
      <c r="BA115" s="1" t="s">
        <v>397</v>
      </c>
      <c r="BC115" s="26">
        <f>AW115+AX115</f>
        <v>0</v>
      </c>
      <c r="BD115" s="26">
        <f>I115/(100-BE115)*100</f>
        <v>0</v>
      </c>
      <c r="BE115" s="26">
        <v>0</v>
      </c>
      <c r="BF115" s="26">
        <f>115</f>
        <v>115</v>
      </c>
      <c r="BH115" s="26">
        <f>H115*AO115</f>
        <v>0</v>
      </c>
      <c r="BI115" s="26">
        <f>H115*AP115</f>
        <v>0</v>
      </c>
      <c r="BJ115" s="26">
        <f>H115*I115</f>
        <v>0</v>
      </c>
      <c r="BK115" s="26"/>
      <c r="BL115" s="26">
        <v>776</v>
      </c>
    </row>
    <row r="116" spans="1:13" ht="15" customHeight="1">
      <c r="A116" s="31"/>
      <c r="C116" s="37" t="s">
        <v>547</v>
      </c>
      <c r="F116" s="37" t="s">
        <v>356</v>
      </c>
      <c r="H116" s="20">
        <v>48.6</v>
      </c>
      <c r="M116" s="55"/>
    </row>
    <row r="117" spans="1:64" ht="15" customHeight="1">
      <c r="A117" s="33" t="s">
        <v>561</v>
      </c>
      <c r="B117" s="6" t="s">
        <v>121</v>
      </c>
      <c r="C117" s="62" t="s">
        <v>317</v>
      </c>
      <c r="D117" s="62"/>
      <c r="E117" s="62"/>
      <c r="F117" s="62"/>
      <c r="G117" s="6" t="s">
        <v>468</v>
      </c>
      <c r="H117" s="26">
        <v>0.8</v>
      </c>
      <c r="I117" s="26">
        <v>0</v>
      </c>
      <c r="J117" s="26">
        <f>H117*AO117</f>
        <v>0</v>
      </c>
      <c r="K117" s="26">
        <f>H117*AP117</f>
        <v>0</v>
      </c>
      <c r="L117" s="26">
        <f>H117*I117</f>
        <v>0</v>
      </c>
      <c r="M117" s="2" t="s">
        <v>197</v>
      </c>
      <c r="Z117" s="26">
        <f>IF(AQ117="5",BJ117,0)</f>
        <v>0</v>
      </c>
      <c r="AB117" s="26">
        <f>IF(AQ117="1",BH117,0)</f>
        <v>0</v>
      </c>
      <c r="AC117" s="26">
        <f>IF(AQ117="1",BI117,0)</f>
        <v>0</v>
      </c>
      <c r="AD117" s="26">
        <f>IF(AQ117="7",BH117,0)</f>
        <v>0</v>
      </c>
      <c r="AE117" s="26">
        <f>IF(AQ117="7",BI117,0)</f>
        <v>0</v>
      </c>
      <c r="AF117" s="26">
        <f>IF(AQ117="2",BH117,0)</f>
        <v>0</v>
      </c>
      <c r="AG117" s="26">
        <f>IF(AQ117="2",BI117,0)</f>
        <v>0</v>
      </c>
      <c r="AH117" s="26">
        <f>IF(AQ117="0",BJ117,0)</f>
        <v>0</v>
      </c>
      <c r="AI117" s="1" t="s">
        <v>356</v>
      </c>
      <c r="AJ117" s="26">
        <f>IF(AN117=0,L117,0)</f>
        <v>0</v>
      </c>
      <c r="AK117" s="26">
        <f>IF(AN117=15,L117,0)</f>
        <v>0</v>
      </c>
      <c r="AL117" s="26">
        <f>IF(AN117=21,L117,0)</f>
        <v>0</v>
      </c>
      <c r="AN117" s="26">
        <v>21</v>
      </c>
      <c r="AO117" s="26">
        <f>I117*0</f>
        <v>0</v>
      </c>
      <c r="AP117" s="26">
        <f>I117*(1-0)</f>
        <v>0</v>
      </c>
      <c r="AQ117" s="28" t="s">
        <v>279</v>
      </c>
      <c r="AV117" s="26">
        <f>AW117+AX117</f>
        <v>0</v>
      </c>
      <c r="AW117" s="26">
        <f>H117*AO117</f>
        <v>0</v>
      </c>
      <c r="AX117" s="26">
        <f>H117*AP117</f>
        <v>0</v>
      </c>
      <c r="AY117" s="28" t="s">
        <v>112</v>
      </c>
      <c r="AZ117" s="28" t="s">
        <v>135</v>
      </c>
      <c r="BA117" s="1" t="s">
        <v>397</v>
      </c>
      <c r="BC117" s="26">
        <f>AW117+AX117</f>
        <v>0</v>
      </c>
      <c r="BD117" s="26">
        <f>I117/(100-BE117)*100</f>
        <v>0</v>
      </c>
      <c r="BE117" s="26">
        <v>0</v>
      </c>
      <c r="BF117" s="26">
        <f>117</f>
        <v>117</v>
      </c>
      <c r="BH117" s="26">
        <f>H117*AO117</f>
        <v>0</v>
      </c>
      <c r="BI117" s="26">
        <f>H117*AP117</f>
        <v>0</v>
      </c>
      <c r="BJ117" s="26">
        <f>H117*I117</f>
        <v>0</v>
      </c>
      <c r="BK117" s="26"/>
      <c r="BL117" s="26">
        <v>776</v>
      </c>
    </row>
    <row r="118" spans="1:47" ht="15" customHeight="1">
      <c r="A118" s="34" t="s">
        <v>356</v>
      </c>
      <c r="B118" s="52" t="s">
        <v>424</v>
      </c>
      <c r="C118" s="77" t="s">
        <v>229</v>
      </c>
      <c r="D118" s="77"/>
      <c r="E118" s="77"/>
      <c r="F118" s="77"/>
      <c r="G118" s="5" t="s">
        <v>492</v>
      </c>
      <c r="H118" s="5" t="s">
        <v>492</v>
      </c>
      <c r="I118" s="5" t="s">
        <v>492</v>
      </c>
      <c r="J118" s="47">
        <f>SUM(J119:J131)</f>
        <v>0</v>
      </c>
      <c r="K118" s="47">
        <f>SUM(K119:K131)</f>
        <v>0</v>
      </c>
      <c r="L118" s="47">
        <f>SUM(L119:L131)</f>
        <v>0</v>
      </c>
      <c r="M118" s="13" t="s">
        <v>356</v>
      </c>
      <c r="AI118" s="1" t="s">
        <v>356</v>
      </c>
      <c r="AS118" s="47">
        <f>SUM(AJ119:AJ131)</f>
        <v>0</v>
      </c>
      <c r="AT118" s="47">
        <f>SUM(AK119:AK131)</f>
        <v>0</v>
      </c>
      <c r="AU118" s="47">
        <f>SUM(AL119:AL131)</f>
        <v>0</v>
      </c>
    </row>
    <row r="119" spans="1:64" ht="15" customHeight="1">
      <c r="A119" s="33" t="s">
        <v>6</v>
      </c>
      <c r="B119" s="6" t="s">
        <v>150</v>
      </c>
      <c r="C119" s="62" t="s">
        <v>287</v>
      </c>
      <c r="D119" s="62"/>
      <c r="E119" s="62"/>
      <c r="F119" s="62"/>
      <c r="G119" s="6" t="s">
        <v>528</v>
      </c>
      <c r="H119" s="26">
        <v>17.571</v>
      </c>
      <c r="I119" s="26">
        <v>0</v>
      </c>
      <c r="J119" s="26">
        <f>H119*AO119</f>
        <v>0</v>
      </c>
      <c r="K119" s="26">
        <f>H119*AP119</f>
        <v>0</v>
      </c>
      <c r="L119" s="26">
        <f>H119*I119</f>
        <v>0</v>
      </c>
      <c r="M119" s="2" t="s">
        <v>197</v>
      </c>
      <c r="Z119" s="26">
        <f>IF(AQ119="5",BJ119,0)</f>
        <v>0</v>
      </c>
      <c r="AB119" s="26">
        <f>IF(AQ119="1",BH119,0)</f>
        <v>0</v>
      </c>
      <c r="AC119" s="26">
        <f>IF(AQ119="1",BI119,0)</f>
        <v>0</v>
      </c>
      <c r="AD119" s="26">
        <f>IF(AQ119="7",BH119,0)</f>
        <v>0</v>
      </c>
      <c r="AE119" s="26">
        <f>IF(AQ119="7",BI119,0)</f>
        <v>0</v>
      </c>
      <c r="AF119" s="26">
        <f>IF(AQ119="2",BH119,0)</f>
        <v>0</v>
      </c>
      <c r="AG119" s="26">
        <f>IF(AQ119="2",BI119,0)</f>
        <v>0</v>
      </c>
      <c r="AH119" s="26">
        <f>IF(AQ119="0",BJ119,0)</f>
        <v>0</v>
      </c>
      <c r="AI119" s="1" t="s">
        <v>356</v>
      </c>
      <c r="AJ119" s="26">
        <f>IF(AN119=0,L119,0)</f>
        <v>0</v>
      </c>
      <c r="AK119" s="26">
        <f>IF(AN119=15,L119,0)</f>
        <v>0</v>
      </c>
      <c r="AL119" s="26">
        <f>IF(AN119=21,L119,0)</f>
        <v>0</v>
      </c>
      <c r="AN119" s="26">
        <v>21</v>
      </c>
      <c r="AO119" s="26">
        <f>I119*0.434642752972852</f>
        <v>0</v>
      </c>
      <c r="AP119" s="26">
        <f>I119*(1-0.434642752972852)</f>
        <v>0</v>
      </c>
      <c r="AQ119" s="28" t="s">
        <v>539</v>
      </c>
      <c r="AV119" s="26">
        <f>AW119+AX119</f>
        <v>0</v>
      </c>
      <c r="AW119" s="26">
        <f>H119*AO119</f>
        <v>0</v>
      </c>
      <c r="AX119" s="26">
        <f>H119*AP119</f>
        <v>0</v>
      </c>
      <c r="AY119" s="28" t="s">
        <v>238</v>
      </c>
      <c r="AZ119" s="28" t="s">
        <v>231</v>
      </c>
      <c r="BA119" s="1" t="s">
        <v>397</v>
      </c>
      <c r="BC119" s="26">
        <f>AW119+AX119</f>
        <v>0</v>
      </c>
      <c r="BD119" s="26">
        <f>I119/(100-BE119)*100</f>
        <v>0</v>
      </c>
      <c r="BE119" s="26">
        <v>0</v>
      </c>
      <c r="BF119" s="26">
        <f>119</f>
        <v>119</v>
      </c>
      <c r="BH119" s="26">
        <f>H119*AO119</f>
        <v>0</v>
      </c>
      <c r="BI119" s="26">
        <f>H119*AP119</f>
        <v>0</v>
      </c>
      <c r="BJ119" s="26">
        <f>H119*I119</f>
        <v>0</v>
      </c>
      <c r="BK119" s="26"/>
      <c r="BL119" s="26">
        <v>781</v>
      </c>
    </row>
    <row r="120" spans="1:13" ht="15" customHeight="1">
      <c r="A120" s="31"/>
      <c r="C120" s="37" t="s">
        <v>472</v>
      </c>
      <c r="F120" s="37" t="s">
        <v>356</v>
      </c>
      <c r="H120" s="20">
        <v>12.174000000000001</v>
      </c>
      <c r="M120" s="55"/>
    </row>
    <row r="121" spans="1:13" ht="15" customHeight="1">
      <c r="A121" s="31"/>
      <c r="C121" s="37" t="s">
        <v>162</v>
      </c>
      <c r="F121" s="37" t="s">
        <v>356</v>
      </c>
      <c r="H121" s="20">
        <v>5.397</v>
      </c>
      <c r="M121" s="55"/>
    </row>
    <row r="122" spans="1:64" ht="15" customHeight="1">
      <c r="A122" s="33" t="s">
        <v>95</v>
      </c>
      <c r="B122" s="6" t="s">
        <v>420</v>
      </c>
      <c r="C122" s="62" t="s">
        <v>461</v>
      </c>
      <c r="D122" s="62"/>
      <c r="E122" s="62"/>
      <c r="F122" s="62"/>
      <c r="G122" s="6" t="s">
        <v>528</v>
      </c>
      <c r="H122" s="26">
        <v>17.571</v>
      </c>
      <c r="I122" s="26">
        <v>0</v>
      </c>
      <c r="J122" s="26">
        <f>H122*AO122</f>
        <v>0</v>
      </c>
      <c r="K122" s="26">
        <f>H122*AP122</f>
        <v>0</v>
      </c>
      <c r="L122" s="26">
        <f>H122*I122</f>
        <v>0</v>
      </c>
      <c r="M122" s="2" t="s">
        <v>197</v>
      </c>
      <c r="Z122" s="26">
        <f>IF(AQ122="5",BJ122,0)</f>
        <v>0</v>
      </c>
      <c r="AB122" s="26">
        <f>IF(AQ122="1",BH122,0)</f>
        <v>0</v>
      </c>
      <c r="AC122" s="26">
        <f>IF(AQ122="1",BI122,0)</f>
        <v>0</v>
      </c>
      <c r="AD122" s="26">
        <f>IF(AQ122="7",BH122,0)</f>
        <v>0</v>
      </c>
      <c r="AE122" s="26">
        <f>IF(AQ122="7",BI122,0)</f>
        <v>0</v>
      </c>
      <c r="AF122" s="26">
        <f>IF(AQ122="2",BH122,0)</f>
        <v>0</v>
      </c>
      <c r="AG122" s="26">
        <f>IF(AQ122="2",BI122,0)</f>
        <v>0</v>
      </c>
      <c r="AH122" s="26">
        <f>IF(AQ122="0",BJ122,0)</f>
        <v>0</v>
      </c>
      <c r="AI122" s="1" t="s">
        <v>356</v>
      </c>
      <c r="AJ122" s="26">
        <f>IF(AN122=0,L122,0)</f>
        <v>0</v>
      </c>
      <c r="AK122" s="26">
        <f>IF(AN122=15,L122,0)</f>
        <v>0</v>
      </c>
      <c r="AL122" s="26">
        <f>IF(AN122=21,L122,0)</f>
        <v>0</v>
      </c>
      <c r="AN122" s="26">
        <v>21</v>
      </c>
      <c r="AO122" s="26">
        <f>I122*1</f>
        <v>0</v>
      </c>
      <c r="AP122" s="26">
        <f>I122*(1-1)</f>
        <v>0</v>
      </c>
      <c r="AQ122" s="28" t="s">
        <v>539</v>
      </c>
      <c r="AV122" s="26">
        <f>AW122+AX122</f>
        <v>0</v>
      </c>
      <c r="AW122" s="26">
        <f>H122*AO122</f>
        <v>0</v>
      </c>
      <c r="AX122" s="26">
        <f>H122*AP122</f>
        <v>0</v>
      </c>
      <c r="AY122" s="28" t="s">
        <v>238</v>
      </c>
      <c r="AZ122" s="28" t="s">
        <v>231</v>
      </c>
      <c r="BA122" s="1" t="s">
        <v>397</v>
      </c>
      <c r="BC122" s="26">
        <f>AW122+AX122</f>
        <v>0</v>
      </c>
      <c r="BD122" s="26">
        <f>I122/(100-BE122)*100</f>
        <v>0</v>
      </c>
      <c r="BE122" s="26">
        <v>0</v>
      </c>
      <c r="BF122" s="26">
        <f>122</f>
        <v>122</v>
      </c>
      <c r="BH122" s="26">
        <f>H122*AO122</f>
        <v>0</v>
      </c>
      <c r="BI122" s="26">
        <f>H122*AP122</f>
        <v>0</v>
      </c>
      <c r="BJ122" s="26">
        <f>H122*I122</f>
        <v>0</v>
      </c>
      <c r="BK122" s="26"/>
      <c r="BL122" s="26">
        <v>781</v>
      </c>
    </row>
    <row r="123" spans="1:13" ht="15" customHeight="1">
      <c r="A123" s="31"/>
      <c r="C123" s="37" t="s">
        <v>472</v>
      </c>
      <c r="F123" s="37" t="s">
        <v>356</v>
      </c>
      <c r="H123" s="20">
        <v>12.174000000000001</v>
      </c>
      <c r="M123" s="55"/>
    </row>
    <row r="124" spans="1:13" ht="15" customHeight="1">
      <c r="A124" s="31"/>
      <c r="C124" s="37" t="s">
        <v>162</v>
      </c>
      <c r="F124" s="37" t="s">
        <v>356</v>
      </c>
      <c r="H124" s="20">
        <v>5.397</v>
      </c>
      <c r="M124" s="55"/>
    </row>
    <row r="125" spans="1:64" ht="15" customHeight="1">
      <c r="A125" s="33" t="s">
        <v>122</v>
      </c>
      <c r="B125" s="6" t="s">
        <v>274</v>
      </c>
      <c r="C125" s="62" t="s">
        <v>126</v>
      </c>
      <c r="D125" s="62"/>
      <c r="E125" s="62"/>
      <c r="F125" s="62"/>
      <c r="G125" s="6" t="s">
        <v>528</v>
      </c>
      <c r="H125" s="26">
        <v>17.571</v>
      </c>
      <c r="I125" s="26">
        <v>0</v>
      </c>
      <c r="J125" s="26">
        <f>H125*AO125</f>
        <v>0</v>
      </c>
      <c r="K125" s="26">
        <f>H125*AP125</f>
        <v>0</v>
      </c>
      <c r="L125" s="26">
        <f>H125*I125</f>
        <v>0</v>
      </c>
      <c r="M125" s="2" t="s">
        <v>197</v>
      </c>
      <c r="Z125" s="26">
        <f>IF(AQ125="5",BJ125,0)</f>
        <v>0</v>
      </c>
      <c r="AB125" s="26">
        <f>IF(AQ125="1",BH125,0)</f>
        <v>0</v>
      </c>
      <c r="AC125" s="26">
        <f>IF(AQ125="1",BI125,0)</f>
        <v>0</v>
      </c>
      <c r="AD125" s="26">
        <f>IF(AQ125="7",BH125,0)</f>
        <v>0</v>
      </c>
      <c r="AE125" s="26">
        <f>IF(AQ125="7",BI125,0)</f>
        <v>0</v>
      </c>
      <c r="AF125" s="26">
        <f>IF(AQ125="2",BH125,0)</f>
        <v>0</v>
      </c>
      <c r="AG125" s="26">
        <f>IF(AQ125="2",BI125,0)</f>
        <v>0</v>
      </c>
      <c r="AH125" s="26">
        <f>IF(AQ125="0",BJ125,0)</f>
        <v>0</v>
      </c>
      <c r="AI125" s="1" t="s">
        <v>356</v>
      </c>
      <c r="AJ125" s="26">
        <f>IF(AN125=0,L125,0)</f>
        <v>0</v>
      </c>
      <c r="AK125" s="26">
        <f>IF(AN125=15,L125,0)</f>
        <v>0</v>
      </c>
      <c r="AL125" s="26">
        <f>IF(AN125=21,L125,0)</f>
        <v>0</v>
      </c>
      <c r="AN125" s="26">
        <v>21</v>
      </c>
      <c r="AO125" s="26">
        <f>I125*0.139487584239079</f>
        <v>0</v>
      </c>
      <c r="AP125" s="26">
        <f>I125*(1-0.139487584239079)</f>
        <v>0</v>
      </c>
      <c r="AQ125" s="28" t="s">
        <v>539</v>
      </c>
      <c r="AV125" s="26">
        <f>AW125+AX125</f>
        <v>0</v>
      </c>
      <c r="AW125" s="26">
        <f>H125*AO125</f>
        <v>0</v>
      </c>
      <c r="AX125" s="26">
        <f>H125*AP125</f>
        <v>0</v>
      </c>
      <c r="AY125" s="28" t="s">
        <v>238</v>
      </c>
      <c r="AZ125" s="28" t="s">
        <v>231</v>
      </c>
      <c r="BA125" s="1" t="s">
        <v>397</v>
      </c>
      <c r="BC125" s="26">
        <f>AW125+AX125</f>
        <v>0</v>
      </c>
      <c r="BD125" s="26">
        <f>I125/(100-BE125)*100</f>
        <v>0</v>
      </c>
      <c r="BE125" s="26">
        <v>0</v>
      </c>
      <c r="BF125" s="26">
        <f>125</f>
        <v>125</v>
      </c>
      <c r="BH125" s="26">
        <f>H125*AO125</f>
        <v>0</v>
      </c>
      <c r="BI125" s="26">
        <f>H125*AP125</f>
        <v>0</v>
      </c>
      <c r="BJ125" s="26">
        <f>H125*I125</f>
        <v>0</v>
      </c>
      <c r="BK125" s="26"/>
      <c r="BL125" s="26">
        <v>781</v>
      </c>
    </row>
    <row r="126" spans="1:13" ht="15" customHeight="1">
      <c r="A126" s="31"/>
      <c r="C126" s="37" t="s">
        <v>472</v>
      </c>
      <c r="F126" s="37" t="s">
        <v>356</v>
      </c>
      <c r="H126" s="20">
        <v>12.174000000000001</v>
      </c>
      <c r="M126" s="55"/>
    </row>
    <row r="127" spans="1:13" ht="15" customHeight="1">
      <c r="A127" s="31"/>
      <c r="C127" s="37" t="s">
        <v>162</v>
      </c>
      <c r="F127" s="37" t="s">
        <v>356</v>
      </c>
      <c r="H127" s="20">
        <v>5.397</v>
      </c>
      <c r="M127" s="55"/>
    </row>
    <row r="128" spans="1:64" ht="15" customHeight="1">
      <c r="A128" s="33" t="s">
        <v>409</v>
      </c>
      <c r="B128" s="6" t="s">
        <v>151</v>
      </c>
      <c r="C128" s="62" t="s">
        <v>498</v>
      </c>
      <c r="D128" s="62"/>
      <c r="E128" s="62"/>
      <c r="F128" s="62"/>
      <c r="G128" s="6" t="s">
        <v>438</v>
      </c>
      <c r="H128" s="26">
        <v>31.876</v>
      </c>
      <c r="I128" s="26">
        <v>0</v>
      </c>
      <c r="J128" s="26">
        <f>H128*AO128</f>
        <v>0</v>
      </c>
      <c r="K128" s="26">
        <f>H128*AP128</f>
        <v>0</v>
      </c>
      <c r="L128" s="26">
        <f>H128*I128</f>
        <v>0</v>
      </c>
      <c r="M128" s="2" t="s">
        <v>197</v>
      </c>
      <c r="Z128" s="26">
        <f>IF(AQ128="5",BJ128,0)</f>
        <v>0</v>
      </c>
      <c r="AB128" s="26">
        <f>IF(AQ128="1",BH128,0)</f>
        <v>0</v>
      </c>
      <c r="AC128" s="26">
        <f>IF(AQ128="1",BI128,0)</f>
        <v>0</v>
      </c>
      <c r="AD128" s="26">
        <f>IF(AQ128="7",BH128,0)</f>
        <v>0</v>
      </c>
      <c r="AE128" s="26">
        <f>IF(AQ128="7",BI128,0)</f>
        <v>0</v>
      </c>
      <c r="AF128" s="26">
        <f>IF(AQ128="2",BH128,0)</f>
        <v>0</v>
      </c>
      <c r="AG128" s="26">
        <f>IF(AQ128="2",BI128,0)</f>
        <v>0</v>
      </c>
      <c r="AH128" s="26">
        <f>IF(AQ128="0",BJ128,0)</f>
        <v>0</v>
      </c>
      <c r="AI128" s="1" t="s">
        <v>356</v>
      </c>
      <c r="AJ128" s="26">
        <f>IF(AN128=0,L128,0)</f>
        <v>0</v>
      </c>
      <c r="AK128" s="26">
        <f>IF(AN128=15,L128,0)</f>
        <v>0</v>
      </c>
      <c r="AL128" s="26">
        <f>IF(AN128=21,L128,0)</f>
        <v>0</v>
      </c>
      <c r="AN128" s="26">
        <v>21</v>
      </c>
      <c r="AO128" s="26">
        <f>I128*0.745847572126712</f>
        <v>0</v>
      </c>
      <c r="AP128" s="26">
        <f>I128*(1-0.745847572126712)</f>
        <v>0</v>
      </c>
      <c r="AQ128" s="28" t="s">
        <v>539</v>
      </c>
      <c r="AV128" s="26">
        <f>AW128+AX128</f>
        <v>0</v>
      </c>
      <c r="AW128" s="26">
        <f>H128*AO128</f>
        <v>0</v>
      </c>
      <c r="AX128" s="26">
        <f>H128*AP128</f>
        <v>0</v>
      </c>
      <c r="AY128" s="28" t="s">
        <v>238</v>
      </c>
      <c r="AZ128" s="28" t="s">
        <v>231</v>
      </c>
      <c r="BA128" s="1" t="s">
        <v>397</v>
      </c>
      <c r="BC128" s="26">
        <f>AW128+AX128</f>
        <v>0</v>
      </c>
      <c r="BD128" s="26">
        <f>I128/(100-BE128)*100</f>
        <v>0</v>
      </c>
      <c r="BE128" s="26">
        <v>0</v>
      </c>
      <c r="BF128" s="26">
        <f>128</f>
        <v>128</v>
      </c>
      <c r="BH128" s="26">
        <f>H128*AO128</f>
        <v>0</v>
      </c>
      <c r="BI128" s="26">
        <f>H128*AP128</f>
        <v>0</v>
      </c>
      <c r="BJ128" s="26">
        <f>H128*I128</f>
        <v>0</v>
      </c>
      <c r="BK128" s="26"/>
      <c r="BL128" s="26">
        <v>781</v>
      </c>
    </row>
    <row r="129" spans="1:13" ht="15" customHeight="1">
      <c r="A129" s="31"/>
      <c r="C129" s="37" t="s">
        <v>368</v>
      </c>
      <c r="F129" s="37" t="s">
        <v>356</v>
      </c>
      <c r="H129" s="20">
        <v>18.678</v>
      </c>
      <c r="M129" s="55"/>
    </row>
    <row r="130" spans="1:13" ht="15" customHeight="1">
      <c r="A130" s="31"/>
      <c r="C130" s="37" t="s">
        <v>568</v>
      </c>
      <c r="F130" s="37" t="s">
        <v>356</v>
      </c>
      <c r="H130" s="20">
        <v>13.198</v>
      </c>
      <c r="M130" s="55"/>
    </row>
    <row r="131" spans="1:64" ht="15" customHeight="1">
      <c r="A131" s="33" t="s">
        <v>48</v>
      </c>
      <c r="B131" s="6" t="s">
        <v>185</v>
      </c>
      <c r="C131" s="62" t="s">
        <v>40</v>
      </c>
      <c r="D131" s="62"/>
      <c r="E131" s="62"/>
      <c r="F131" s="62"/>
      <c r="G131" s="6" t="s">
        <v>468</v>
      </c>
      <c r="H131" s="26">
        <v>3.75</v>
      </c>
      <c r="I131" s="26">
        <v>0</v>
      </c>
      <c r="J131" s="26">
        <f>H131*AO131</f>
        <v>0</v>
      </c>
      <c r="K131" s="26">
        <f>H131*AP131</f>
        <v>0</v>
      </c>
      <c r="L131" s="26">
        <f>H131*I131</f>
        <v>0</v>
      </c>
      <c r="M131" s="2" t="s">
        <v>197</v>
      </c>
      <c r="Z131" s="26">
        <f>IF(AQ131="5",BJ131,0)</f>
        <v>0</v>
      </c>
      <c r="AB131" s="26">
        <f>IF(AQ131="1",BH131,0)</f>
        <v>0</v>
      </c>
      <c r="AC131" s="26">
        <f>IF(AQ131="1",BI131,0)</f>
        <v>0</v>
      </c>
      <c r="AD131" s="26">
        <f>IF(AQ131="7",BH131,0)</f>
        <v>0</v>
      </c>
      <c r="AE131" s="26">
        <f>IF(AQ131="7",BI131,0)</f>
        <v>0</v>
      </c>
      <c r="AF131" s="26">
        <f>IF(AQ131="2",BH131,0)</f>
        <v>0</v>
      </c>
      <c r="AG131" s="26">
        <f>IF(AQ131="2",BI131,0)</f>
        <v>0</v>
      </c>
      <c r="AH131" s="26">
        <f>IF(AQ131="0",BJ131,0)</f>
        <v>0</v>
      </c>
      <c r="AI131" s="1" t="s">
        <v>356</v>
      </c>
      <c r="AJ131" s="26">
        <f>IF(AN131=0,L131,0)</f>
        <v>0</v>
      </c>
      <c r="AK131" s="26">
        <f>IF(AN131=15,L131,0)</f>
        <v>0</v>
      </c>
      <c r="AL131" s="26">
        <f>IF(AN131=21,L131,0)</f>
        <v>0</v>
      </c>
      <c r="AN131" s="26">
        <v>21</v>
      </c>
      <c r="AO131" s="26">
        <f>I131*0</f>
        <v>0</v>
      </c>
      <c r="AP131" s="26">
        <f>I131*(1-0)</f>
        <v>0</v>
      </c>
      <c r="AQ131" s="28" t="s">
        <v>279</v>
      </c>
      <c r="AV131" s="26">
        <f>AW131+AX131</f>
        <v>0</v>
      </c>
      <c r="AW131" s="26">
        <f>H131*AO131</f>
        <v>0</v>
      </c>
      <c r="AX131" s="26">
        <f>H131*AP131</f>
        <v>0</v>
      </c>
      <c r="AY131" s="28" t="s">
        <v>238</v>
      </c>
      <c r="AZ131" s="28" t="s">
        <v>231</v>
      </c>
      <c r="BA131" s="1" t="s">
        <v>397</v>
      </c>
      <c r="BC131" s="26">
        <f>AW131+AX131</f>
        <v>0</v>
      </c>
      <c r="BD131" s="26">
        <f>I131/(100-BE131)*100</f>
        <v>0</v>
      </c>
      <c r="BE131" s="26">
        <v>0</v>
      </c>
      <c r="BF131" s="26">
        <f>131</f>
        <v>131</v>
      </c>
      <c r="BH131" s="26">
        <f>H131*AO131</f>
        <v>0</v>
      </c>
      <c r="BI131" s="26">
        <f>H131*AP131</f>
        <v>0</v>
      </c>
      <c r="BJ131" s="26">
        <f>H131*I131</f>
        <v>0</v>
      </c>
      <c r="BK131" s="26"/>
      <c r="BL131" s="26">
        <v>781</v>
      </c>
    </row>
    <row r="132" spans="1:47" ht="15" customHeight="1">
      <c r="A132" s="34" t="s">
        <v>356</v>
      </c>
      <c r="B132" s="52" t="s">
        <v>298</v>
      </c>
      <c r="C132" s="77" t="s">
        <v>416</v>
      </c>
      <c r="D132" s="77"/>
      <c r="E132" s="77"/>
      <c r="F132" s="77"/>
      <c r="G132" s="5" t="s">
        <v>492</v>
      </c>
      <c r="H132" s="5" t="s">
        <v>492</v>
      </c>
      <c r="I132" s="5" t="s">
        <v>492</v>
      </c>
      <c r="J132" s="47">
        <f>SUM(J133:J135)</f>
        <v>0</v>
      </c>
      <c r="K132" s="47">
        <f>SUM(K133:K135)</f>
        <v>0</v>
      </c>
      <c r="L132" s="47">
        <f>SUM(L133:L135)</f>
        <v>0</v>
      </c>
      <c r="M132" s="13" t="s">
        <v>356</v>
      </c>
      <c r="AI132" s="1" t="s">
        <v>356</v>
      </c>
      <c r="AS132" s="47">
        <f>SUM(AJ133:AJ135)</f>
        <v>0</v>
      </c>
      <c r="AT132" s="47">
        <f>SUM(AK133:AK135)</f>
        <v>0</v>
      </c>
      <c r="AU132" s="47">
        <f>SUM(AL133:AL135)</f>
        <v>0</v>
      </c>
    </row>
    <row r="133" spans="1:64" ht="15" customHeight="1">
      <c r="A133" s="33" t="s">
        <v>406</v>
      </c>
      <c r="B133" s="6" t="s">
        <v>143</v>
      </c>
      <c r="C133" s="62" t="s">
        <v>30</v>
      </c>
      <c r="D133" s="62"/>
      <c r="E133" s="62"/>
      <c r="F133" s="62"/>
      <c r="G133" s="6" t="s">
        <v>528</v>
      </c>
      <c r="H133" s="26">
        <v>9.894</v>
      </c>
      <c r="I133" s="26">
        <v>0</v>
      </c>
      <c r="J133" s="26">
        <f>H133*AO133</f>
        <v>0</v>
      </c>
      <c r="K133" s="26">
        <f>H133*AP133</f>
        <v>0</v>
      </c>
      <c r="L133" s="26">
        <f>H133*I133</f>
        <v>0</v>
      </c>
      <c r="M133" s="2" t="s">
        <v>197</v>
      </c>
      <c r="Z133" s="26">
        <f>IF(AQ133="5",BJ133,0)</f>
        <v>0</v>
      </c>
      <c r="AB133" s="26">
        <f>IF(AQ133="1",BH133,0)</f>
        <v>0</v>
      </c>
      <c r="AC133" s="26">
        <f>IF(AQ133="1",BI133,0)</f>
        <v>0</v>
      </c>
      <c r="AD133" s="26">
        <f>IF(AQ133="7",BH133,0)</f>
        <v>0</v>
      </c>
      <c r="AE133" s="26">
        <f>IF(AQ133="7",BI133,0)</f>
        <v>0</v>
      </c>
      <c r="AF133" s="26">
        <f>IF(AQ133="2",BH133,0)</f>
        <v>0</v>
      </c>
      <c r="AG133" s="26">
        <f>IF(AQ133="2",BI133,0)</f>
        <v>0</v>
      </c>
      <c r="AH133" s="26">
        <f>IF(AQ133="0",BJ133,0)</f>
        <v>0</v>
      </c>
      <c r="AI133" s="1" t="s">
        <v>356</v>
      </c>
      <c r="AJ133" s="26">
        <f>IF(AN133=0,L133,0)</f>
        <v>0</v>
      </c>
      <c r="AK133" s="26">
        <f>IF(AN133=15,L133,0)</f>
        <v>0</v>
      </c>
      <c r="AL133" s="26">
        <f>IF(AN133=21,L133,0)</f>
        <v>0</v>
      </c>
      <c r="AN133" s="26">
        <v>21</v>
      </c>
      <c r="AO133" s="26">
        <f>I133*0.17671447077659</f>
        <v>0</v>
      </c>
      <c r="AP133" s="26">
        <f>I133*(1-0.17671447077659)</f>
        <v>0</v>
      </c>
      <c r="AQ133" s="28" t="s">
        <v>539</v>
      </c>
      <c r="AV133" s="26">
        <f>AW133+AX133</f>
        <v>0</v>
      </c>
      <c r="AW133" s="26">
        <f>H133*AO133</f>
        <v>0</v>
      </c>
      <c r="AX133" s="26">
        <f>H133*AP133</f>
        <v>0</v>
      </c>
      <c r="AY133" s="28" t="s">
        <v>133</v>
      </c>
      <c r="AZ133" s="28" t="s">
        <v>231</v>
      </c>
      <c r="BA133" s="1" t="s">
        <v>397</v>
      </c>
      <c r="BC133" s="26">
        <f>AW133+AX133</f>
        <v>0</v>
      </c>
      <c r="BD133" s="26">
        <f>I133/(100-BE133)*100</f>
        <v>0</v>
      </c>
      <c r="BE133" s="26">
        <v>0</v>
      </c>
      <c r="BF133" s="26">
        <f>133</f>
        <v>133</v>
      </c>
      <c r="BH133" s="26">
        <f>H133*AO133</f>
        <v>0</v>
      </c>
      <c r="BI133" s="26">
        <f>H133*AP133</f>
        <v>0</v>
      </c>
      <c r="BJ133" s="26">
        <f>H133*I133</f>
        <v>0</v>
      </c>
      <c r="BK133" s="26"/>
      <c r="BL133" s="26">
        <v>783</v>
      </c>
    </row>
    <row r="134" spans="1:13" ht="15" customHeight="1">
      <c r="A134" s="31"/>
      <c r="C134" s="37" t="s">
        <v>155</v>
      </c>
      <c r="F134" s="37" t="s">
        <v>356</v>
      </c>
      <c r="H134" s="20">
        <v>9.894</v>
      </c>
      <c r="M134" s="55"/>
    </row>
    <row r="135" spans="1:64" ht="15" customHeight="1">
      <c r="A135" s="33" t="s">
        <v>320</v>
      </c>
      <c r="B135" s="6" t="s">
        <v>284</v>
      </c>
      <c r="C135" s="62" t="s">
        <v>228</v>
      </c>
      <c r="D135" s="62"/>
      <c r="E135" s="62"/>
      <c r="F135" s="62"/>
      <c r="G135" s="6" t="s">
        <v>528</v>
      </c>
      <c r="H135" s="26">
        <v>2</v>
      </c>
      <c r="I135" s="26">
        <v>0</v>
      </c>
      <c r="J135" s="26">
        <f>H135*AO135</f>
        <v>0</v>
      </c>
      <c r="K135" s="26">
        <f>H135*AP135</f>
        <v>0</v>
      </c>
      <c r="L135" s="26">
        <f>H135*I135</f>
        <v>0</v>
      </c>
      <c r="M135" s="2" t="s">
        <v>197</v>
      </c>
      <c r="Z135" s="26">
        <f>IF(AQ135="5",BJ135,0)</f>
        <v>0</v>
      </c>
      <c r="AB135" s="26">
        <f>IF(AQ135="1",BH135,0)</f>
        <v>0</v>
      </c>
      <c r="AC135" s="26">
        <f>IF(AQ135="1",BI135,0)</f>
        <v>0</v>
      </c>
      <c r="AD135" s="26">
        <f>IF(AQ135="7",BH135,0)</f>
        <v>0</v>
      </c>
      <c r="AE135" s="26">
        <f>IF(AQ135="7",BI135,0)</f>
        <v>0</v>
      </c>
      <c r="AF135" s="26">
        <f>IF(AQ135="2",BH135,0)</f>
        <v>0</v>
      </c>
      <c r="AG135" s="26">
        <f>IF(AQ135="2",BI135,0)</f>
        <v>0</v>
      </c>
      <c r="AH135" s="26">
        <f>IF(AQ135="0",BJ135,0)</f>
        <v>0</v>
      </c>
      <c r="AI135" s="1" t="s">
        <v>356</v>
      </c>
      <c r="AJ135" s="26">
        <f>IF(AN135=0,L135,0)</f>
        <v>0</v>
      </c>
      <c r="AK135" s="26">
        <f>IF(AN135=15,L135,0)</f>
        <v>0</v>
      </c>
      <c r="AL135" s="26">
        <f>IF(AN135=21,L135,0)</f>
        <v>0</v>
      </c>
      <c r="AN135" s="26">
        <v>21</v>
      </c>
      <c r="AO135" s="26">
        <f>I135*0.367598566308244</f>
        <v>0</v>
      </c>
      <c r="AP135" s="26">
        <f>I135*(1-0.367598566308244)</f>
        <v>0</v>
      </c>
      <c r="AQ135" s="28" t="s">
        <v>539</v>
      </c>
      <c r="AV135" s="26">
        <f>AW135+AX135</f>
        <v>0</v>
      </c>
      <c r="AW135" s="26">
        <f>H135*AO135</f>
        <v>0</v>
      </c>
      <c r="AX135" s="26">
        <f>H135*AP135</f>
        <v>0</v>
      </c>
      <c r="AY135" s="28" t="s">
        <v>133</v>
      </c>
      <c r="AZ135" s="28" t="s">
        <v>231</v>
      </c>
      <c r="BA135" s="1" t="s">
        <v>397</v>
      </c>
      <c r="BC135" s="26">
        <f>AW135+AX135</f>
        <v>0</v>
      </c>
      <c r="BD135" s="26">
        <f>I135/(100-BE135)*100</f>
        <v>0</v>
      </c>
      <c r="BE135" s="26">
        <v>0</v>
      </c>
      <c r="BF135" s="26">
        <f>135</f>
        <v>135</v>
      </c>
      <c r="BH135" s="26">
        <f>H135*AO135</f>
        <v>0</v>
      </c>
      <c r="BI135" s="26">
        <f>H135*AP135</f>
        <v>0</v>
      </c>
      <c r="BJ135" s="26">
        <f>H135*I135</f>
        <v>0</v>
      </c>
      <c r="BK135" s="26"/>
      <c r="BL135" s="26">
        <v>783</v>
      </c>
    </row>
    <row r="136" spans="1:47" ht="15" customHeight="1">
      <c r="A136" s="34" t="s">
        <v>356</v>
      </c>
      <c r="B136" s="52" t="s">
        <v>291</v>
      </c>
      <c r="C136" s="77" t="s">
        <v>10</v>
      </c>
      <c r="D136" s="77"/>
      <c r="E136" s="77"/>
      <c r="F136" s="77"/>
      <c r="G136" s="5" t="s">
        <v>492</v>
      </c>
      <c r="H136" s="5" t="s">
        <v>492</v>
      </c>
      <c r="I136" s="5" t="s">
        <v>492</v>
      </c>
      <c r="J136" s="47">
        <f>SUM(J137:J141)</f>
        <v>0</v>
      </c>
      <c r="K136" s="47">
        <f>SUM(K137:K141)</f>
        <v>0</v>
      </c>
      <c r="L136" s="47">
        <f>SUM(L137:L141)</f>
        <v>0</v>
      </c>
      <c r="M136" s="13" t="s">
        <v>356</v>
      </c>
      <c r="AI136" s="1" t="s">
        <v>356</v>
      </c>
      <c r="AS136" s="47">
        <f>SUM(AJ137:AJ141)</f>
        <v>0</v>
      </c>
      <c r="AT136" s="47">
        <f>SUM(AK137:AK141)</f>
        <v>0</v>
      </c>
      <c r="AU136" s="47">
        <f>SUM(AL137:AL141)</f>
        <v>0</v>
      </c>
    </row>
    <row r="137" spans="1:64" ht="15" customHeight="1">
      <c r="A137" s="33" t="s">
        <v>544</v>
      </c>
      <c r="B137" s="6" t="s">
        <v>147</v>
      </c>
      <c r="C137" s="62" t="s">
        <v>87</v>
      </c>
      <c r="D137" s="62"/>
      <c r="E137" s="62"/>
      <c r="F137" s="62"/>
      <c r="G137" s="6" t="s">
        <v>528</v>
      </c>
      <c r="H137" s="26">
        <v>179</v>
      </c>
      <c r="I137" s="26">
        <v>0</v>
      </c>
      <c r="J137" s="26">
        <f>H137*AO137</f>
        <v>0</v>
      </c>
      <c r="K137" s="26">
        <f>H137*AP137</f>
        <v>0</v>
      </c>
      <c r="L137" s="26">
        <f>H137*I137</f>
        <v>0</v>
      </c>
      <c r="M137" s="2" t="s">
        <v>197</v>
      </c>
      <c r="Z137" s="26">
        <f>IF(AQ137="5",BJ137,0)</f>
        <v>0</v>
      </c>
      <c r="AB137" s="26">
        <f>IF(AQ137="1",BH137,0)</f>
        <v>0</v>
      </c>
      <c r="AC137" s="26">
        <f>IF(AQ137="1",BI137,0)</f>
        <v>0</v>
      </c>
      <c r="AD137" s="26">
        <f>IF(AQ137="7",BH137,0)</f>
        <v>0</v>
      </c>
      <c r="AE137" s="26">
        <f>IF(AQ137="7",BI137,0)</f>
        <v>0</v>
      </c>
      <c r="AF137" s="26">
        <f>IF(AQ137="2",BH137,0)</f>
        <v>0</v>
      </c>
      <c r="AG137" s="26">
        <f>IF(AQ137="2",BI137,0)</f>
        <v>0</v>
      </c>
      <c r="AH137" s="26">
        <f>IF(AQ137="0",BJ137,0)</f>
        <v>0</v>
      </c>
      <c r="AI137" s="1" t="s">
        <v>356</v>
      </c>
      <c r="AJ137" s="26">
        <f>IF(AN137=0,L137,0)</f>
        <v>0</v>
      </c>
      <c r="AK137" s="26">
        <f>IF(AN137=15,L137,0)</f>
        <v>0</v>
      </c>
      <c r="AL137" s="26">
        <f>IF(AN137=21,L137,0)</f>
        <v>0</v>
      </c>
      <c r="AN137" s="26">
        <v>21</v>
      </c>
      <c r="AO137" s="26">
        <f>I137*0.275</f>
        <v>0</v>
      </c>
      <c r="AP137" s="26">
        <f>I137*(1-0.275)</f>
        <v>0</v>
      </c>
      <c r="AQ137" s="28" t="s">
        <v>539</v>
      </c>
      <c r="AV137" s="26">
        <f>AW137+AX137</f>
        <v>0</v>
      </c>
      <c r="AW137" s="26">
        <f>H137*AO137</f>
        <v>0</v>
      </c>
      <c r="AX137" s="26">
        <f>H137*AP137</f>
        <v>0</v>
      </c>
      <c r="AY137" s="28" t="s">
        <v>474</v>
      </c>
      <c r="AZ137" s="28" t="s">
        <v>231</v>
      </c>
      <c r="BA137" s="1" t="s">
        <v>397</v>
      </c>
      <c r="BC137" s="26">
        <f>AW137+AX137</f>
        <v>0</v>
      </c>
      <c r="BD137" s="26">
        <f>I137/(100-BE137)*100</f>
        <v>0</v>
      </c>
      <c r="BE137" s="26">
        <v>0</v>
      </c>
      <c r="BF137" s="26">
        <f>137</f>
        <v>137</v>
      </c>
      <c r="BH137" s="26">
        <f>H137*AO137</f>
        <v>0</v>
      </c>
      <c r="BI137" s="26">
        <f>H137*AP137</f>
        <v>0</v>
      </c>
      <c r="BJ137" s="26">
        <f>H137*I137</f>
        <v>0</v>
      </c>
      <c r="BK137" s="26"/>
      <c r="BL137" s="26">
        <v>784</v>
      </c>
    </row>
    <row r="138" spans="1:13" ht="15" customHeight="1">
      <c r="A138" s="31"/>
      <c r="C138" s="37" t="s">
        <v>257</v>
      </c>
      <c r="F138" s="37" t="s">
        <v>356</v>
      </c>
      <c r="H138" s="20">
        <v>179.00000000000003</v>
      </c>
      <c r="M138" s="55"/>
    </row>
    <row r="139" spans="1:64" ht="15" customHeight="1">
      <c r="A139" s="33" t="s">
        <v>489</v>
      </c>
      <c r="B139" s="6" t="s">
        <v>591</v>
      </c>
      <c r="C139" s="62" t="s">
        <v>55</v>
      </c>
      <c r="D139" s="62"/>
      <c r="E139" s="62"/>
      <c r="F139" s="62"/>
      <c r="G139" s="6" t="s">
        <v>528</v>
      </c>
      <c r="H139" s="26">
        <v>179</v>
      </c>
      <c r="I139" s="26">
        <v>0</v>
      </c>
      <c r="J139" s="26">
        <f>H139*AO139</f>
        <v>0</v>
      </c>
      <c r="K139" s="26">
        <f>H139*AP139</f>
        <v>0</v>
      </c>
      <c r="L139" s="26">
        <f>H139*I139</f>
        <v>0</v>
      </c>
      <c r="M139" s="2" t="s">
        <v>197</v>
      </c>
      <c r="Z139" s="26">
        <f>IF(AQ139="5",BJ139,0)</f>
        <v>0</v>
      </c>
      <c r="AB139" s="26">
        <f>IF(AQ139="1",BH139,0)</f>
        <v>0</v>
      </c>
      <c r="AC139" s="26">
        <f>IF(AQ139="1",BI139,0)</f>
        <v>0</v>
      </c>
      <c r="AD139" s="26">
        <f>IF(AQ139="7",BH139,0)</f>
        <v>0</v>
      </c>
      <c r="AE139" s="26">
        <f>IF(AQ139="7",BI139,0)</f>
        <v>0</v>
      </c>
      <c r="AF139" s="26">
        <f>IF(AQ139="2",BH139,0)</f>
        <v>0</v>
      </c>
      <c r="AG139" s="26">
        <f>IF(AQ139="2",BI139,0)</f>
        <v>0</v>
      </c>
      <c r="AH139" s="26">
        <f>IF(AQ139="0",BJ139,0)</f>
        <v>0</v>
      </c>
      <c r="AI139" s="1" t="s">
        <v>356</v>
      </c>
      <c r="AJ139" s="26">
        <f>IF(AN139=0,L139,0)</f>
        <v>0</v>
      </c>
      <c r="AK139" s="26">
        <f>IF(AN139=15,L139,0)</f>
        <v>0</v>
      </c>
      <c r="AL139" s="26">
        <f>IF(AN139=21,L139,0)</f>
        <v>0</v>
      </c>
      <c r="AN139" s="26">
        <v>21</v>
      </c>
      <c r="AO139" s="26">
        <f>I139*0.0941780821917808</f>
        <v>0</v>
      </c>
      <c r="AP139" s="26">
        <f>I139*(1-0.0941780821917808)</f>
        <v>0</v>
      </c>
      <c r="AQ139" s="28" t="s">
        <v>539</v>
      </c>
      <c r="AV139" s="26">
        <f>AW139+AX139</f>
        <v>0</v>
      </c>
      <c r="AW139" s="26">
        <f>H139*AO139</f>
        <v>0</v>
      </c>
      <c r="AX139" s="26">
        <f>H139*AP139</f>
        <v>0</v>
      </c>
      <c r="AY139" s="28" t="s">
        <v>474</v>
      </c>
      <c r="AZ139" s="28" t="s">
        <v>231</v>
      </c>
      <c r="BA139" s="1" t="s">
        <v>397</v>
      </c>
      <c r="BC139" s="26">
        <f>AW139+AX139</f>
        <v>0</v>
      </c>
      <c r="BD139" s="26">
        <f>I139/(100-BE139)*100</f>
        <v>0</v>
      </c>
      <c r="BE139" s="26">
        <v>0</v>
      </c>
      <c r="BF139" s="26">
        <f>139</f>
        <v>139</v>
      </c>
      <c r="BH139" s="26">
        <f>H139*AO139</f>
        <v>0</v>
      </c>
      <c r="BI139" s="26">
        <f>H139*AP139</f>
        <v>0</v>
      </c>
      <c r="BJ139" s="26">
        <f>H139*I139</f>
        <v>0</v>
      </c>
      <c r="BK139" s="26"/>
      <c r="BL139" s="26">
        <v>784</v>
      </c>
    </row>
    <row r="140" spans="1:13" ht="15" customHeight="1">
      <c r="A140" s="31"/>
      <c r="C140" s="37" t="s">
        <v>257</v>
      </c>
      <c r="F140" s="37" t="s">
        <v>356</v>
      </c>
      <c r="H140" s="20">
        <v>179.00000000000003</v>
      </c>
      <c r="M140" s="55"/>
    </row>
    <row r="141" spans="1:64" ht="15" customHeight="1">
      <c r="A141" s="33" t="s">
        <v>348</v>
      </c>
      <c r="B141" s="6" t="s">
        <v>32</v>
      </c>
      <c r="C141" s="62" t="s">
        <v>398</v>
      </c>
      <c r="D141" s="62"/>
      <c r="E141" s="62"/>
      <c r="F141" s="62"/>
      <c r="G141" s="6" t="s">
        <v>528</v>
      </c>
      <c r="H141" s="26">
        <v>179</v>
      </c>
      <c r="I141" s="26">
        <v>0</v>
      </c>
      <c r="J141" s="26">
        <f>H141*AO141</f>
        <v>0</v>
      </c>
      <c r="K141" s="26">
        <f>H141*AP141</f>
        <v>0</v>
      </c>
      <c r="L141" s="26">
        <f>H141*I141</f>
        <v>0</v>
      </c>
      <c r="M141" s="2" t="s">
        <v>197</v>
      </c>
      <c r="Z141" s="26">
        <f>IF(AQ141="5",BJ141,0)</f>
        <v>0</v>
      </c>
      <c r="AB141" s="26">
        <f>IF(AQ141="1",BH141,0)</f>
        <v>0</v>
      </c>
      <c r="AC141" s="26">
        <f>IF(AQ141="1",BI141,0)</f>
        <v>0</v>
      </c>
      <c r="AD141" s="26">
        <f>IF(AQ141="7",BH141,0)</f>
        <v>0</v>
      </c>
      <c r="AE141" s="26">
        <f>IF(AQ141="7",BI141,0)</f>
        <v>0</v>
      </c>
      <c r="AF141" s="26">
        <f>IF(AQ141="2",BH141,0)</f>
        <v>0</v>
      </c>
      <c r="AG141" s="26">
        <f>IF(AQ141="2",BI141,0)</f>
        <v>0</v>
      </c>
      <c r="AH141" s="26">
        <f>IF(AQ141="0",BJ141,0)</f>
        <v>0</v>
      </c>
      <c r="AI141" s="1" t="s">
        <v>356</v>
      </c>
      <c r="AJ141" s="26">
        <f>IF(AN141=0,L141,0)</f>
        <v>0</v>
      </c>
      <c r="AK141" s="26">
        <f>IF(AN141=15,L141,0)</f>
        <v>0</v>
      </c>
      <c r="AL141" s="26">
        <f>IF(AN141=21,L141,0)</f>
        <v>0</v>
      </c>
      <c r="AN141" s="26">
        <v>21</v>
      </c>
      <c r="AO141" s="26">
        <f>I141*0.00892857142857143</f>
        <v>0</v>
      </c>
      <c r="AP141" s="26">
        <f>I141*(1-0.00892857142857143)</f>
        <v>0</v>
      </c>
      <c r="AQ141" s="28" t="s">
        <v>539</v>
      </c>
      <c r="AV141" s="26">
        <f>AW141+AX141</f>
        <v>0</v>
      </c>
      <c r="AW141" s="26">
        <f>H141*AO141</f>
        <v>0</v>
      </c>
      <c r="AX141" s="26">
        <f>H141*AP141</f>
        <v>0</v>
      </c>
      <c r="AY141" s="28" t="s">
        <v>474</v>
      </c>
      <c r="AZ141" s="28" t="s">
        <v>231</v>
      </c>
      <c r="BA141" s="1" t="s">
        <v>397</v>
      </c>
      <c r="BC141" s="26">
        <f>AW141+AX141</f>
        <v>0</v>
      </c>
      <c r="BD141" s="26">
        <f>I141/(100-BE141)*100</f>
        <v>0</v>
      </c>
      <c r="BE141" s="26">
        <v>0</v>
      </c>
      <c r="BF141" s="26">
        <f>141</f>
        <v>141</v>
      </c>
      <c r="BH141" s="26">
        <f>H141*AO141</f>
        <v>0</v>
      </c>
      <c r="BI141" s="26">
        <f>H141*AP141</f>
        <v>0</v>
      </c>
      <c r="BJ141" s="26">
        <f>H141*I141</f>
        <v>0</v>
      </c>
      <c r="BK141" s="26"/>
      <c r="BL141" s="26">
        <v>784</v>
      </c>
    </row>
    <row r="142" spans="1:13" ht="15" customHeight="1">
      <c r="A142" s="31"/>
      <c r="C142" s="37" t="s">
        <v>257</v>
      </c>
      <c r="F142" s="37" t="s">
        <v>356</v>
      </c>
      <c r="H142" s="20">
        <v>179.00000000000003</v>
      </c>
      <c r="M142" s="55"/>
    </row>
    <row r="143" spans="1:47" ht="15" customHeight="1">
      <c r="A143" s="34" t="s">
        <v>356</v>
      </c>
      <c r="B143" s="52" t="s">
        <v>70</v>
      </c>
      <c r="C143" s="77" t="s">
        <v>364</v>
      </c>
      <c r="D143" s="77"/>
      <c r="E143" s="77"/>
      <c r="F143" s="77"/>
      <c r="G143" s="5" t="s">
        <v>492</v>
      </c>
      <c r="H143" s="5" t="s">
        <v>492</v>
      </c>
      <c r="I143" s="5" t="s">
        <v>492</v>
      </c>
      <c r="J143" s="47">
        <f>SUM(J144:J144)</f>
        <v>0</v>
      </c>
      <c r="K143" s="47">
        <f>SUM(K144:K144)</f>
        <v>0</v>
      </c>
      <c r="L143" s="47">
        <f>SUM(L144:L144)</f>
        <v>0</v>
      </c>
      <c r="M143" s="13" t="s">
        <v>356</v>
      </c>
      <c r="AI143" s="1" t="s">
        <v>356</v>
      </c>
      <c r="AS143" s="47">
        <f>SUM(AJ144:AJ144)</f>
        <v>0</v>
      </c>
      <c r="AT143" s="47">
        <f>SUM(AK144:AK144)</f>
        <v>0</v>
      </c>
      <c r="AU143" s="47">
        <f>SUM(AL144:AL144)</f>
        <v>0</v>
      </c>
    </row>
    <row r="144" spans="1:64" ht="15" customHeight="1">
      <c r="A144" s="33" t="s">
        <v>266</v>
      </c>
      <c r="B144" s="6" t="s">
        <v>148</v>
      </c>
      <c r="C144" s="62" t="s">
        <v>180</v>
      </c>
      <c r="D144" s="62"/>
      <c r="E144" s="62"/>
      <c r="F144" s="62"/>
      <c r="G144" s="6" t="s">
        <v>528</v>
      </c>
      <c r="H144" s="26">
        <v>53.2</v>
      </c>
      <c r="I144" s="26">
        <v>0</v>
      </c>
      <c r="J144" s="26">
        <f>H144*AO144</f>
        <v>0</v>
      </c>
      <c r="K144" s="26">
        <f>H144*AP144</f>
        <v>0</v>
      </c>
      <c r="L144" s="26">
        <f>H144*I144</f>
        <v>0</v>
      </c>
      <c r="M144" s="2" t="s">
        <v>197</v>
      </c>
      <c r="Z144" s="26">
        <f>IF(AQ144="5",BJ144,0)</f>
        <v>0</v>
      </c>
      <c r="AB144" s="26">
        <f>IF(AQ144="1",BH144,0)</f>
        <v>0</v>
      </c>
      <c r="AC144" s="26">
        <f>IF(AQ144="1",BI144,0)</f>
        <v>0</v>
      </c>
      <c r="AD144" s="26">
        <f>IF(AQ144="7",BH144,0)</f>
        <v>0</v>
      </c>
      <c r="AE144" s="26">
        <f>IF(AQ144="7",BI144,0)</f>
        <v>0</v>
      </c>
      <c r="AF144" s="26">
        <f>IF(AQ144="2",BH144,0)</f>
        <v>0</v>
      </c>
      <c r="AG144" s="26">
        <f>IF(AQ144="2",BI144,0)</f>
        <v>0</v>
      </c>
      <c r="AH144" s="26">
        <f>IF(AQ144="0",BJ144,0)</f>
        <v>0</v>
      </c>
      <c r="AI144" s="1" t="s">
        <v>356</v>
      </c>
      <c r="AJ144" s="26">
        <f>IF(AN144=0,L144,0)</f>
        <v>0</v>
      </c>
      <c r="AK144" s="26">
        <f>IF(AN144=15,L144,0)</f>
        <v>0</v>
      </c>
      <c r="AL144" s="26">
        <f>IF(AN144=21,L144,0)</f>
        <v>0</v>
      </c>
      <c r="AN144" s="26">
        <v>21</v>
      </c>
      <c r="AO144" s="26">
        <f>I144*0.327179487179487</f>
        <v>0</v>
      </c>
      <c r="AP144" s="26">
        <f>I144*(1-0.327179487179487)</f>
        <v>0</v>
      </c>
      <c r="AQ144" s="28" t="s">
        <v>535</v>
      </c>
      <c r="AV144" s="26">
        <f>AW144+AX144</f>
        <v>0</v>
      </c>
      <c r="AW144" s="26">
        <f>H144*AO144</f>
        <v>0</v>
      </c>
      <c r="AX144" s="26">
        <f>H144*AP144</f>
        <v>0</v>
      </c>
      <c r="AY144" s="28" t="s">
        <v>590</v>
      </c>
      <c r="AZ144" s="28" t="s">
        <v>190</v>
      </c>
      <c r="BA144" s="1" t="s">
        <v>397</v>
      </c>
      <c r="BC144" s="26">
        <f>AW144+AX144</f>
        <v>0</v>
      </c>
      <c r="BD144" s="26">
        <f>I144/(100-BE144)*100</f>
        <v>0</v>
      </c>
      <c r="BE144" s="26">
        <v>0</v>
      </c>
      <c r="BF144" s="26">
        <f>144</f>
        <v>144</v>
      </c>
      <c r="BH144" s="26">
        <f>H144*AO144</f>
        <v>0</v>
      </c>
      <c r="BI144" s="26">
        <f>H144*AP144</f>
        <v>0</v>
      </c>
      <c r="BJ144" s="26">
        <f>H144*I144</f>
        <v>0</v>
      </c>
      <c r="BK144" s="26"/>
      <c r="BL144" s="26">
        <v>94</v>
      </c>
    </row>
    <row r="145" spans="1:13" ht="15" customHeight="1">
      <c r="A145" s="31"/>
      <c r="C145" s="37" t="s">
        <v>465</v>
      </c>
      <c r="F145" s="37" t="s">
        <v>356</v>
      </c>
      <c r="H145" s="20">
        <v>53.2</v>
      </c>
      <c r="M145" s="55"/>
    </row>
    <row r="146" spans="1:47" ht="15" customHeight="1">
      <c r="A146" s="34" t="s">
        <v>356</v>
      </c>
      <c r="B146" s="52" t="s">
        <v>205</v>
      </c>
      <c r="C146" s="77" t="s">
        <v>388</v>
      </c>
      <c r="D146" s="77"/>
      <c r="E146" s="77"/>
      <c r="F146" s="77"/>
      <c r="G146" s="5" t="s">
        <v>492</v>
      </c>
      <c r="H146" s="5" t="s">
        <v>492</v>
      </c>
      <c r="I146" s="5" t="s">
        <v>492</v>
      </c>
      <c r="J146" s="47">
        <f>SUM(J147:J151)</f>
        <v>0</v>
      </c>
      <c r="K146" s="47">
        <f>SUM(K147:K151)</f>
        <v>0</v>
      </c>
      <c r="L146" s="47">
        <f>SUM(L147:L151)</f>
        <v>0</v>
      </c>
      <c r="M146" s="13" t="s">
        <v>356</v>
      </c>
      <c r="AI146" s="1" t="s">
        <v>356</v>
      </c>
      <c r="AS146" s="47">
        <f>SUM(AJ147:AJ151)</f>
        <v>0</v>
      </c>
      <c r="AT146" s="47">
        <f>SUM(AK147:AK151)</f>
        <v>0</v>
      </c>
      <c r="AU146" s="47">
        <f>SUM(AL147:AL151)</f>
        <v>0</v>
      </c>
    </row>
    <row r="147" spans="1:64" ht="15" customHeight="1">
      <c r="A147" s="33" t="s">
        <v>125</v>
      </c>
      <c r="B147" s="6" t="s">
        <v>399</v>
      </c>
      <c r="C147" s="62" t="s">
        <v>47</v>
      </c>
      <c r="D147" s="62"/>
      <c r="E147" s="62"/>
      <c r="F147" s="62"/>
      <c r="G147" s="6" t="s">
        <v>141</v>
      </c>
      <c r="H147" s="26">
        <v>2</v>
      </c>
      <c r="I147" s="26">
        <v>0</v>
      </c>
      <c r="J147" s="26">
        <f>H147*AO147</f>
        <v>0</v>
      </c>
      <c r="K147" s="26">
        <f>H147*AP147</f>
        <v>0</v>
      </c>
      <c r="L147" s="26">
        <f>H147*I147</f>
        <v>0</v>
      </c>
      <c r="M147" s="2" t="s">
        <v>197</v>
      </c>
      <c r="Z147" s="26">
        <f>IF(AQ147="5",BJ147,0)</f>
        <v>0</v>
      </c>
      <c r="AB147" s="26">
        <f>IF(AQ147="1",BH147,0)</f>
        <v>0</v>
      </c>
      <c r="AC147" s="26">
        <f>IF(AQ147="1",BI147,0)</f>
        <v>0</v>
      </c>
      <c r="AD147" s="26">
        <f>IF(AQ147="7",BH147,0)</f>
        <v>0</v>
      </c>
      <c r="AE147" s="26">
        <f>IF(AQ147="7",BI147,0)</f>
        <v>0</v>
      </c>
      <c r="AF147" s="26">
        <f>IF(AQ147="2",BH147,0)</f>
        <v>0</v>
      </c>
      <c r="AG147" s="26">
        <f>IF(AQ147="2",BI147,0)</f>
        <v>0</v>
      </c>
      <c r="AH147" s="26">
        <f>IF(AQ147="0",BJ147,0)</f>
        <v>0</v>
      </c>
      <c r="AI147" s="1" t="s">
        <v>356</v>
      </c>
      <c r="AJ147" s="26">
        <f>IF(AN147=0,L147,0)</f>
        <v>0</v>
      </c>
      <c r="AK147" s="26">
        <f>IF(AN147=15,L147,0)</f>
        <v>0</v>
      </c>
      <c r="AL147" s="26">
        <f>IF(AN147=21,L147,0)</f>
        <v>0</v>
      </c>
      <c r="AN147" s="26">
        <v>21</v>
      </c>
      <c r="AO147" s="26">
        <f>I147*0.131019522776573</f>
        <v>0</v>
      </c>
      <c r="AP147" s="26">
        <f>I147*(1-0.131019522776573)</f>
        <v>0</v>
      </c>
      <c r="AQ147" s="28" t="s">
        <v>535</v>
      </c>
      <c r="AV147" s="26">
        <f>AW147+AX147</f>
        <v>0</v>
      </c>
      <c r="AW147" s="26">
        <f>H147*AO147</f>
        <v>0</v>
      </c>
      <c r="AX147" s="26">
        <f>H147*AP147</f>
        <v>0</v>
      </c>
      <c r="AY147" s="28" t="s">
        <v>316</v>
      </c>
      <c r="AZ147" s="28" t="s">
        <v>190</v>
      </c>
      <c r="BA147" s="1" t="s">
        <v>397</v>
      </c>
      <c r="BC147" s="26">
        <f>AW147+AX147</f>
        <v>0</v>
      </c>
      <c r="BD147" s="26">
        <f>I147/(100-BE147)*100</f>
        <v>0</v>
      </c>
      <c r="BE147" s="26">
        <v>0</v>
      </c>
      <c r="BF147" s="26">
        <f>147</f>
        <v>147</v>
      </c>
      <c r="BH147" s="26">
        <f>H147*AO147</f>
        <v>0</v>
      </c>
      <c r="BI147" s="26">
        <f>H147*AP147</f>
        <v>0</v>
      </c>
      <c r="BJ147" s="26">
        <f>H147*I147</f>
        <v>0</v>
      </c>
      <c r="BK147" s="26"/>
      <c r="BL147" s="26">
        <v>95</v>
      </c>
    </row>
    <row r="148" spans="1:64" ht="15" customHeight="1">
      <c r="A148" s="33" t="s">
        <v>46</v>
      </c>
      <c r="B148" s="6" t="s">
        <v>471</v>
      </c>
      <c r="C148" s="62" t="s">
        <v>165</v>
      </c>
      <c r="D148" s="62"/>
      <c r="E148" s="62"/>
      <c r="F148" s="62"/>
      <c r="G148" s="6" t="s">
        <v>528</v>
      </c>
      <c r="H148" s="26">
        <v>47.407</v>
      </c>
      <c r="I148" s="26">
        <v>0</v>
      </c>
      <c r="J148" s="26">
        <f>H148*AO148</f>
        <v>0</v>
      </c>
      <c r="K148" s="26">
        <f>H148*AP148</f>
        <v>0</v>
      </c>
      <c r="L148" s="26">
        <f>H148*I148</f>
        <v>0</v>
      </c>
      <c r="M148" s="2" t="s">
        <v>197</v>
      </c>
      <c r="Z148" s="26">
        <f>IF(AQ148="5",BJ148,0)</f>
        <v>0</v>
      </c>
      <c r="AB148" s="26">
        <f>IF(AQ148="1",BH148,0)</f>
        <v>0</v>
      </c>
      <c r="AC148" s="26">
        <f>IF(AQ148="1",BI148,0)</f>
        <v>0</v>
      </c>
      <c r="AD148" s="26">
        <f>IF(AQ148="7",BH148,0)</f>
        <v>0</v>
      </c>
      <c r="AE148" s="26">
        <f>IF(AQ148="7",BI148,0)</f>
        <v>0</v>
      </c>
      <c r="AF148" s="26">
        <f>IF(AQ148="2",BH148,0)</f>
        <v>0</v>
      </c>
      <c r="AG148" s="26">
        <f>IF(AQ148="2",BI148,0)</f>
        <v>0</v>
      </c>
      <c r="AH148" s="26">
        <f>IF(AQ148="0",BJ148,0)</f>
        <v>0</v>
      </c>
      <c r="AI148" s="1" t="s">
        <v>356</v>
      </c>
      <c r="AJ148" s="26">
        <f>IF(AN148=0,L148,0)</f>
        <v>0</v>
      </c>
      <c r="AK148" s="26">
        <f>IF(AN148=15,L148,0)</f>
        <v>0</v>
      </c>
      <c r="AL148" s="26">
        <f>IF(AN148=21,L148,0)</f>
        <v>0</v>
      </c>
      <c r="AN148" s="26">
        <v>21</v>
      </c>
      <c r="AO148" s="26">
        <f>I148*0.0120784354167028</f>
        <v>0</v>
      </c>
      <c r="AP148" s="26">
        <f>I148*(1-0.0120784354167028)</f>
        <v>0</v>
      </c>
      <c r="AQ148" s="28" t="s">
        <v>535</v>
      </c>
      <c r="AV148" s="26">
        <f>AW148+AX148</f>
        <v>0</v>
      </c>
      <c r="AW148" s="26">
        <f>H148*AO148</f>
        <v>0</v>
      </c>
      <c r="AX148" s="26">
        <f>H148*AP148</f>
        <v>0</v>
      </c>
      <c r="AY148" s="28" t="s">
        <v>316</v>
      </c>
      <c r="AZ148" s="28" t="s">
        <v>190</v>
      </c>
      <c r="BA148" s="1" t="s">
        <v>397</v>
      </c>
      <c r="BC148" s="26">
        <f>AW148+AX148</f>
        <v>0</v>
      </c>
      <c r="BD148" s="26">
        <f>I148/(100-BE148)*100</f>
        <v>0</v>
      </c>
      <c r="BE148" s="26">
        <v>0</v>
      </c>
      <c r="BF148" s="26">
        <f>148</f>
        <v>148</v>
      </c>
      <c r="BH148" s="26">
        <f>H148*AO148</f>
        <v>0</v>
      </c>
      <c r="BI148" s="26">
        <f>H148*AP148</f>
        <v>0</v>
      </c>
      <c r="BJ148" s="26">
        <f>H148*I148</f>
        <v>0</v>
      </c>
      <c r="BK148" s="26"/>
      <c r="BL148" s="26">
        <v>95</v>
      </c>
    </row>
    <row r="149" spans="1:13" ht="15" customHeight="1">
      <c r="A149" s="31"/>
      <c r="C149" s="37" t="s">
        <v>599</v>
      </c>
      <c r="F149" s="37" t="s">
        <v>356</v>
      </c>
      <c r="H149" s="20">
        <v>47.407000000000004</v>
      </c>
      <c r="M149" s="55"/>
    </row>
    <row r="150" spans="1:64" ht="15" customHeight="1">
      <c r="A150" s="33" t="s">
        <v>527</v>
      </c>
      <c r="B150" s="6" t="s">
        <v>33</v>
      </c>
      <c r="C150" s="62" t="s">
        <v>429</v>
      </c>
      <c r="D150" s="62"/>
      <c r="E150" s="62"/>
      <c r="F150" s="62"/>
      <c r="G150" s="6" t="s">
        <v>141</v>
      </c>
      <c r="H150" s="26">
        <v>1</v>
      </c>
      <c r="I150" s="26">
        <v>0</v>
      </c>
      <c r="J150" s="26">
        <f>H150*AO150</f>
        <v>0</v>
      </c>
      <c r="K150" s="26">
        <f>H150*AP150</f>
        <v>0</v>
      </c>
      <c r="L150" s="26">
        <f>H150*I150</f>
        <v>0</v>
      </c>
      <c r="M150" s="2" t="s">
        <v>197</v>
      </c>
      <c r="Z150" s="26">
        <f>IF(AQ150="5",BJ150,0)</f>
        <v>0</v>
      </c>
      <c r="AB150" s="26">
        <f>IF(AQ150="1",BH150,0)</f>
        <v>0</v>
      </c>
      <c r="AC150" s="26">
        <f>IF(AQ150="1",BI150,0)</f>
        <v>0</v>
      </c>
      <c r="AD150" s="26">
        <f>IF(AQ150="7",BH150,0)</f>
        <v>0</v>
      </c>
      <c r="AE150" s="26">
        <f>IF(AQ150="7",BI150,0)</f>
        <v>0</v>
      </c>
      <c r="AF150" s="26">
        <f>IF(AQ150="2",BH150,0)</f>
        <v>0</v>
      </c>
      <c r="AG150" s="26">
        <f>IF(AQ150="2",BI150,0)</f>
        <v>0</v>
      </c>
      <c r="AH150" s="26">
        <f>IF(AQ150="0",BJ150,0)</f>
        <v>0</v>
      </c>
      <c r="AI150" s="1" t="s">
        <v>356</v>
      </c>
      <c r="AJ150" s="26">
        <f>IF(AN150=0,L150,0)</f>
        <v>0</v>
      </c>
      <c r="AK150" s="26">
        <f>IF(AN150=15,L150,0)</f>
        <v>0</v>
      </c>
      <c r="AL150" s="26">
        <f>IF(AN150=21,L150,0)</f>
        <v>0</v>
      </c>
      <c r="AN150" s="26">
        <v>21</v>
      </c>
      <c r="AO150" s="26">
        <f>I150*0.134988508949091</f>
        <v>0</v>
      </c>
      <c r="AP150" s="26">
        <f>I150*(1-0.134988508949091)</f>
        <v>0</v>
      </c>
      <c r="AQ150" s="28" t="s">
        <v>535</v>
      </c>
      <c r="AV150" s="26">
        <f>AW150+AX150</f>
        <v>0</v>
      </c>
      <c r="AW150" s="26">
        <f>H150*AO150</f>
        <v>0</v>
      </c>
      <c r="AX150" s="26">
        <f>H150*AP150</f>
        <v>0</v>
      </c>
      <c r="AY150" s="28" t="s">
        <v>316</v>
      </c>
      <c r="AZ150" s="28" t="s">
        <v>190</v>
      </c>
      <c r="BA150" s="1" t="s">
        <v>397</v>
      </c>
      <c r="BC150" s="26">
        <f>AW150+AX150</f>
        <v>0</v>
      </c>
      <c r="BD150" s="26">
        <f>I150/(100-BE150)*100</f>
        <v>0</v>
      </c>
      <c r="BE150" s="26">
        <v>0</v>
      </c>
      <c r="BF150" s="26">
        <f>150</f>
        <v>150</v>
      </c>
      <c r="BH150" s="26">
        <f>H150*AO150</f>
        <v>0</v>
      </c>
      <c r="BI150" s="26">
        <f>H150*AP150</f>
        <v>0</v>
      </c>
      <c r="BJ150" s="26">
        <f>H150*I150</f>
        <v>0</v>
      </c>
      <c r="BK150" s="26"/>
      <c r="BL150" s="26">
        <v>95</v>
      </c>
    </row>
    <row r="151" spans="1:64" ht="15" customHeight="1">
      <c r="A151" s="33" t="s">
        <v>97</v>
      </c>
      <c r="B151" s="6" t="s">
        <v>349</v>
      </c>
      <c r="C151" s="62" t="s">
        <v>556</v>
      </c>
      <c r="D151" s="62"/>
      <c r="E151" s="62"/>
      <c r="F151" s="62"/>
      <c r="G151" s="6" t="s">
        <v>141</v>
      </c>
      <c r="H151" s="26">
        <v>0</v>
      </c>
      <c r="I151" s="26">
        <v>0</v>
      </c>
      <c r="J151" s="26">
        <f>H151*AO151</f>
        <v>0</v>
      </c>
      <c r="K151" s="26">
        <f>H151*AP151</f>
        <v>0</v>
      </c>
      <c r="L151" s="26">
        <f>H151*I151</f>
        <v>0</v>
      </c>
      <c r="M151" s="2" t="s">
        <v>197</v>
      </c>
      <c r="Z151" s="26">
        <f>IF(AQ151="5",BJ151,0)</f>
        <v>0</v>
      </c>
      <c r="AB151" s="26">
        <f>IF(AQ151="1",BH151,0)</f>
        <v>0</v>
      </c>
      <c r="AC151" s="26">
        <f>IF(AQ151="1",BI151,0)</f>
        <v>0</v>
      </c>
      <c r="AD151" s="26">
        <f>IF(AQ151="7",BH151,0)</f>
        <v>0</v>
      </c>
      <c r="AE151" s="26">
        <f>IF(AQ151="7",BI151,0)</f>
        <v>0</v>
      </c>
      <c r="AF151" s="26">
        <f>IF(AQ151="2",BH151,0)</f>
        <v>0</v>
      </c>
      <c r="AG151" s="26">
        <f>IF(AQ151="2",BI151,0)</f>
        <v>0</v>
      </c>
      <c r="AH151" s="26">
        <f>IF(AQ151="0",BJ151,0)</f>
        <v>0</v>
      </c>
      <c r="AI151" s="1" t="s">
        <v>356</v>
      </c>
      <c r="AJ151" s="26">
        <f>IF(AN151=0,L151,0)</f>
        <v>0</v>
      </c>
      <c r="AK151" s="26">
        <f>IF(AN151=15,L151,0)</f>
        <v>0</v>
      </c>
      <c r="AL151" s="26">
        <f>IF(AN151=21,L151,0)</f>
        <v>0</v>
      </c>
      <c r="AN151" s="26">
        <v>21</v>
      </c>
      <c r="AO151" s="26">
        <f>I151*1</f>
        <v>0</v>
      </c>
      <c r="AP151" s="26">
        <f>I151*(1-1)</f>
        <v>0</v>
      </c>
      <c r="AQ151" s="28" t="s">
        <v>535</v>
      </c>
      <c r="AV151" s="26">
        <f>AW151+AX151</f>
        <v>0</v>
      </c>
      <c r="AW151" s="26">
        <f>H151*AO151</f>
        <v>0</v>
      </c>
      <c r="AX151" s="26">
        <f>H151*AP151</f>
        <v>0</v>
      </c>
      <c r="AY151" s="28" t="s">
        <v>316</v>
      </c>
      <c r="AZ151" s="28" t="s">
        <v>190</v>
      </c>
      <c r="BA151" s="1" t="s">
        <v>397</v>
      </c>
      <c r="BC151" s="26">
        <f>AW151+AX151</f>
        <v>0</v>
      </c>
      <c r="BD151" s="26">
        <f>I151/(100-BE151)*100</f>
        <v>0</v>
      </c>
      <c r="BE151" s="26">
        <v>0</v>
      </c>
      <c r="BF151" s="26">
        <f>151</f>
        <v>151</v>
      </c>
      <c r="BH151" s="26">
        <f>H151*AO151</f>
        <v>0</v>
      </c>
      <c r="BI151" s="26">
        <f>H151*AP151</f>
        <v>0</v>
      </c>
      <c r="BJ151" s="26">
        <f>H151*I151</f>
        <v>0</v>
      </c>
      <c r="BK151" s="26"/>
      <c r="BL151" s="26">
        <v>95</v>
      </c>
    </row>
    <row r="152" spans="1:47" ht="15" customHeight="1">
      <c r="A152" s="34" t="s">
        <v>356</v>
      </c>
      <c r="B152" s="52" t="s">
        <v>293</v>
      </c>
      <c r="C152" s="77" t="s">
        <v>391</v>
      </c>
      <c r="D152" s="77"/>
      <c r="E152" s="77"/>
      <c r="F152" s="77"/>
      <c r="G152" s="5" t="s">
        <v>492</v>
      </c>
      <c r="H152" s="5" t="s">
        <v>492</v>
      </c>
      <c r="I152" s="5" t="s">
        <v>492</v>
      </c>
      <c r="J152" s="47">
        <f>SUM(J153:J165)</f>
        <v>0</v>
      </c>
      <c r="K152" s="47">
        <f>SUM(K153:K165)</f>
        <v>0</v>
      </c>
      <c r="L152" s="47">
        <f>SUM(L153:L165)</f>
        <v>0</v>
      </c>
      <c r="M152" s="13" t="s">
        <v>356</v>
      </c>
      <c r="AI152" s="1" t="s">
        <v>356</v>
      </c>
      <c r="AS152" s="47">
        <f>SUM(AJ153:AJ165)</f>
        <v>0</v>
      </c>
      <c r="AT152" s="47">
        <f>SUM(AK153:AK165)</f>
        <v>0</v>
      </c>
      <c r="AU152" s="47">
        <f>SUM(AL153:AL165)</f>
        <v>0</v>
      </c>
    </row>
    <row r="153" spans="1:64" ht="15" customHeight="1">
      <c r="A153" s="33" t="s">
        <v>108</v>
      </c>
      <c r="B153" s="6" t="s">
        <v>337</v>
      </c>
      <c r="C153" s="62" t="s">
        <v>552</v>
      </c>
      <c r="D153" s="62"/>
      <c r="E153" s="62"/>
      <c r="F153" s="62"/>
      <c r="G153" s="6" t="s">
        <v>516</v>
      </c>
      <c r="H153" s="26">
        <v>0.223</v>
      </c>
      <c r="I153" s="26">
        <v>0</v>
      </c>
      <c r="J153" s="26">
        <f>H153*AO153</f>
        <v>0</v>
      </c>
      <c r="K153" s="26">
        <f>H153*AP153</f>
        <v>0</v>
      </c>
      <c r="L153" s="26">
        <f>H153*I153</f>
        <v>0</v>
      </c>
      <c r="M153" s="2" t="s">
        <v>197</v>
      </c>
      <c r="Z153" s="26">
        <f>IF(AQ153="5",BJ153,0)</f>
        <v>0</v>
      </c>
      <c r="AB153" s="26">
        <f>IF(AQ153="1",BH153,0)</f>
        <v>0</v>
      </c>
      <c r="AC153" s="26">
        <f>IF(AQ153="1",BI153,0)</f>
        <v>0</v>
      </c>
      <c r="AD153" s="26">
        <f>IF(AQ153="7",BH153,0)</f>
        <v>0</v>
      </c>
      <c r="AE153" s="26">
        <f>IF(AQ153="7",BI153,0)</f>
        <v>0</v>
      </c>
      <c r="AF153" s="26">
        <f>IF(AQ153="2",BH153,0)</f>
        <v>0</v>
      </c>
      <c r="AG153" s="26">
        <f>IF(AQ153="2",BI153,0)</f>
        <v>0</v>
      </c>
      <c r="AH153" s="26">
        <f>IF(AQ153="0",BJ153,0)</f>
        <v>0</v>
      </c>
      <c r="AI153" s="1" t="s">
        <v>356</v>
      </c>
      <c r="AJ153" s="26">
        <f>IF(AN153=0,L153,0)</f>
        <v>0</v>
      </c>
      <c r="AK153" s="26">
        <f>IF(AN153=15,L153,0)</f>
        <v>0</v>
      </c>
      <c r="AL153" s="26">
        <f>IF(AN153=21,L153,0)</f>
        <v>0</v>
      </c>
      <c r="AN153" s="26">
        <v>21</v>
      </c>
      <c r="AO153" s="26">
        <f>I153*0</f>
        <v>0</v>
      </c>
      <c r="AP153" s="26">
        <f>I153*(1-0)</f>
        <v>0</v>
      </c>
      <c r="AQ153" s="28" t="s">
        <v>535</v>
      </c>
      <c r="AV153" s="26">
        <f>AW153+AX153</f>
        <v>0</v>
      </c>
      <c r="AW153" s="26">
        <f>H153*AO153</f>
        <v>0</v>
      </c>
      <c r="AX153" s="26">
        <f>H153*AP153</f>
        <v>0</v>
      </c>
      <c r="AY153" s="28" t="s">
        <v>470</v>
      </c>
      <c r="AZ153" s="28" t="s">
        <v>190</v>
      </c>
      <c r="BA153" s="1" t="s">
        <v>397</v>
      </c>
      <c r="BC153" s="26">
        <f>AW153+AX153</f>
        <v>0</v>
      </c>
      <c r="BD153" s="26">
        <f>I153/(100-BE153)*100</f>
        <v>0</v>
      </c>
      <c r="BE153" s="26">
        <v>0</v>
      </c>
      <c r="BF153" s="26">
        <f>153</f>
        <v>153</v>
      </c>
      <c r="BH153" s="26">
        <f>H153*AO153</f>
        <v>0</v>
      </c>
      <c r="BI153" s="26">
        <f>H153*AP153</f>
        <v>0</v>
      </c>
      <c r="BJ153" s="26">
        <f>H153*I153</f>
        <v>0</v>
      </c>
      <c r="BK153" s="26"/>
      <c r="BL153" s="26">
        <v>96</v>
      </c>
    </row>
    <row r="154" spans="1:13" ht="15" customHeight="1">
      <c r="A154" s="31"/>
      <c r="C154" s="37" t="s">
        <v>261</v>
      </c>
      <c r="F154" s="37" t="s">
        <v>356</v>
      </c>
      <c r="H154" s="20">
        <v>0.22300000000000003</v>
      </c>
      <c r="M154" s="55"/>
    </row>
    <row r="155" spans="1:64" ht="15" customHeight="1">
      <c r="A155" s="33" t="s">
        <v>551</v>
      </c>
      <c r="B155" s="6" t="s">
        <v>301</v>
      </c>
      <c r="C155" s="62" t="s">
        <v>200</v>
      </c>
      <c r="D155" s="62"/>
      <c r="E155" s="62"/>
      <c r="F155" s="62"/>
      <c r="G155" s="6" t="s">
        <v>528</v>
      </c>
      <c r="H155" s="26">
        <v>4.46</v>
      </c>
      <c r="I155" s="26">
        <v>0</v>
      </c>
      <c r="J155" s="26">
        <f>H155*AO155</f>
        <v>0</v>
      </c>
      <c r="K155" s="26">
        <f>H155*AP155</f>
        <v>0</v>
      </c>
      <c r="L155" s="26">
        <f>H155*I155</f>
        <v>0</v>
      </c>
      <c r="M155" s="2" t="s">
        <v>197</v>
      </c>
      <c r="Z155" s="26">
        <f>IF(AQ155="5",BJ155,0)</f>
        <v>0</v>
      </c>
      <c r="AB155" s="26">
        <f>IF(AQ155="1",BH155,0)</f>
        <v>0</v>
      </c>
      <c r="AC155" s="26">
        <f>IF(AQ155="1",BI155,0)</f>
        <v>0</v>
      </c>
      <c r="AD155" s="26">
        <f>IF(AQ155="7",BH155,0)</f>
        <v>0</v>
      </c>
      <c r="AE155" s="26">
        <f>IF(AQ155="7",BI155,0)</f>
        <v>0</v>
      </c>
      <c r="AF155" s="26">
        <f>IF(AQ155="2",BH155,0)</f>
        <v>0</v>
      </c>
      <c r="AG155" s="26">
        <f>IF(AQ155="2",BI155,0)</f>
        <v>0</v>
      </c>
      <c r="AH155" s="26">
        <f>IF(AQ155="0",BJ155,0)</f>
        <v>0</v>
      </c>
      <c r="AI155" s="1" t="s">
        <v>356</v>
      </c>
      <c r="AJ155" s="26">
        <f>IF(AN155=0,L155,0)</f>
        <v>0</v>
      </c>
      <c r="AK155" s="26">
        <f>IF(AN155=15,L155,0)</f>
        <v>0</v>
      </c>
      <c r="AL155" s="26">
        <f>IF(AN155=21,L155,0)</f>
        <v>0</v>
      </c>
      <c r="AN155" s="26">
        <v>21</v>
      </c>
      <c r="AO155" s="26">
        <f>I155*0</f>
        <v>0</v>
      </c>
      <c r="AP155" s="26">
        <f>I155*(1-0)</f>
        <v>0</v>
      </c>
      <c r="AQ155" s="28" t="s">
        <v>535</v>
      </c>
      <c r="AV155" s="26">
        <f>AW155+AX155</f>
        <v>0</v>
      </c>
      <c r="AW155" s="26">
        <f>H155*AO155</f>
        <v>0</v>
      </c>
      <c r="AX155" s="26">
        <f>H155*AP155</f>
        <v>0</v>
      </c>
      <c r="AY155" s="28" t="s">
        <v>470</v>
      </c>
      <c r="AZ155" s="28" t="s">
        <v>190</v>
      </c>
      <c r="BA155" s="1" t="s">
        <v>397</v>
      </c>
      <c r="BC155" s="26">
        <f>AW155+AX155</f>
        <v>0</v>
      </c>
      <c r="BD155" s="26">
        <f>I155/(100-BE155)*100</f>
        <v>0</v>
      </c>
      <c r="BE155" s="26">
        <v>0</v>
      </c>
      <c r="BF155" s="26">
        <f>155</f>
        <v>155</v>
      </c>
      <c r="BH155" s="26">
        <f>H155*AO155</f>
        <v>0</v>
      </c>
      <c r="BI155" s="26">
        <f>H155*AP155</f>
        <v>0</v>
      </c>
      <c r="BJ155" s="26">
        <f>H155*I155</f>
        <v>0</v>
      </c>
      <c r="BK155" s="26"/>
      <c r="BL155" s="26">
        <v>96</v>
      </c>
    </row>
    <row r="156" spans="1:13" ht="15" customHeight="1">
      <c r="A156" s="31"/>
      <c r="C156" s="37" t="s">
        <v>583</v>
      </c>
      <c r="F156" s="37" t="s">
        <v>356</v>
      </c>
      <c r="H156" s="20">
        <v>4.46</v>
      </c>
      <c r="M156" s="55"/>
    </row>
    <row r="157" spans="1:64" ht="15" customHeight="1">
      <c r="A157" s="33" t="s">
        <v>312</v>
      </c>
      <c r="B157" s="6" t="s">
        <v>277</v>
      </c>
      <c r="C157" s="62" t="s">
        <v>565</v>
      </c>
      <c r="D157" s="62"/>
      <c r="E157" s="62"/>
      <c r="F157" s="62"/>
      <c r="G157" s="6" t="s">
        <v>438</v>
      </c>
      <c r="H157" s="26">
        <v>10</v>
      </c>
      <c r="I157" s="26">
        <v>0</v>
      </c>
      <c r="J157" s="26">
        <f>H157*AO157</f>
        <v>0</v>
      </c>
      <c r="K157" s="26">
        <f>H157*AP157</f>
        <v>0</v>
      </c>
      <c r="L157" s="26">
        <f>H157*I157</f>
        <v>0</v>
      </c>
      <c r="M157" s="2" t="s">
        <v>197</v>
      </c>
      <c r="Z157" s="26">
        <f>IF(AQ157="5",BJ157,0)</f>
        <v>0</v>
      </c>
      <c r="AB157" s="26">
        <f>IF(AQ157="1",BH157,0)</f>
        <v>0</v>
      </c>
      <c r="AC157" s="26">
        <f>IF(AQ157="1",BI157,0)</f>
        <v>0</v>
      </c>
      <c r="AD157" s="26">
        <f>IF(AQ157="7",BH157,0)</f>
        <v>0</v>
      </c>
      <c r="AE157" s="26">
        <f>IF(AQ157="7",BI157,0)</f>
        <v>0</v>
      </c>
      <c r="AF157" s="26">
        <f>IF(AQ157="2",BH157,0)</f>
        <v>0</v>
      </c>
      <c r="AG157" s="26">
        <f>IF(AQ157="2",BI157,0)</f>
        <v>0</v>
      </c>
      <c r="AH157" s="26">
        <f>IF(AQ157="0",BJ157,0)</f>
        <v>0</v>
      </c>
      <c r="AI157" s="1" t="s">
        <v>356</v>
      </c>
      <c r="AJ157" s="26">
        <f>IF(AN157=0,L157,0)</f>
        <v>0</v>
      </c>
      <c r="AK157" s="26">
        <f>IF(AN157=15,L157,0)</f>
        <v>0</v>
      </c>
      <c r="AL157" s="26">
        <f>IF(AN157=21,L157,0)</f>
        <v>0</v>
      </c>
      <c r="AN157" s="26">
        <v>21</v>
      </c>
      <c r="AO157" s="26">
        <f>I157*0.196724470134875</f>
        <v>0</v>
      </c>
      <c r="AP157" s="26">
        <f>I157*(1-0.196724470134875)</f>
        <v>0</v>
      </c>
      <c r="AQ157" s="28" t="s">
        <v>535</v>
      </c>
      <c r="AV157" s="26">
        <f>AW157+AX157</f>
        <v>0</v>
      </c>
      <c r="AW157" s="26">
        <f>H157*AO157</f>
        <v>0</v>
      </c>
      <c r="AX157" s="26">
        <f>H157*AP157</f>
        <v>0</v>
      </c>
      <c r="AY157" s="28" t="s">
        <v>470</v>
      </c>
      <c r="AZ157" s="28" t="s">
        <v>190</v>
      </c>
      <c r="BA157" s="1" t="s">
        <v>397</v>
      </c>
      <c r="BC157" s="26">
        <f>AW157+AX157</f>
        <v>0</v>
      </c>
      <c r="BD157" s="26">
        <f>I157/(100-BE157)*100</f>
        <v>0</v>
      </c>
      <c r="BE157" s="26">
        <v>0</v>
      </c>
      <c r="BF157" s="26">
        <f>157</f>
        <v>157</v>
      </c>
      <c r="BH157" s="26">
        <f>H157*AO157</f>
        <v>0</v>
      </c>
      <c r="BI157" s="26">
        <f>H157*AP157</f>
        <v>0</v>
      </c>
      <c r="BJ157" s="26">
        <f>H157*I157</f>
        <v>0</v>
      </c>
      <c r="BK157" s="26"/>
      <c r="BL157" s="26">
        <v>96</v>
      </c>
    </row>
    <row r="158" spans="1:64" ht="15" customHeight="1">
      <c r="A158" s="33" t="s">
        <v>258</v>
      </c>
      <c r="B158" s="6" t="s">
        <v>394</v>
      </c>
      <c r="C158" s="62" t="s">
        <v>515</v>
      </c>
      <c r="D158" s="62"/>
      <c r="E158" s="62"/>
      <c r="F158" s="62"/>
      <c r="G158" s="6" t="s">
        <v>141</v>
      </c>
      <c r="H158" s="26">
        <v>4</v>
      </c>
      <c r="I158" s="26">
        <v>0</v>
      </c>
      <c r="J158" s="26">
        <f>H158*AO158</f>
        <v>0</v>
      </c>
      <c r="K158" s="26">
        <f>H158*AP158</f>
        <v>0</v>
      </c>
      <c r="L158" s="26">
        <f>H158*I158</f>
        <v>0</v>
      </c>
      <c r="M158" s="2" t="s">
        <v>197</v>
      </c>
      <c r="Z158" s="26">
        <f>IF(AQ158="5",BJ158,0)</f>
        <v>0</v>
      </c>
      <c r="AB158" s="26">
        <f>IF(AQ158="1",BH158,0)</f>
        <v>0</v>
      </c>
      <c r="AC158" s="26">
        <f>IF(AQ158="1",BI158,0)</f>
        <v>0</v>
      </c>
      <c r="AD158" s="26">
        <f>IF(AQ158="7",BH158,0)</f>
        <v>0</v>
      </c>
      <c r="AE158" s="26">
        <f>IF(AQ158="7",BI158,0)</f>
        <v>0</v>
      </c>
      <c r="AF158" s="26">
        <f>IF(AQ158="2",BH158,0)</f>
        <v>0</v>
      </c>
      <c r="AG158" s="26">
        <f>IF(AQ158="2",BI158,0)</f>
        <v>0</v>
      </c>
      <c r="AH158" s="26">
        <f>IF(AQ158="0",BJ158,0)</f>
        <v>0</v>
      </c>
      <c r="AI158" s="1" t="s">
        <v>356</v>
      </c>
      <c r="AJ158" s="26">
        <f>IF(AN158=0,L158,0)</f>
        <v>0</v>
      </c>
      <c r="AK158" s="26">
        <f>IF(AN158=15,L158,0)</f>
        <v>0</v>
      </c>
      <c r="AL158" s="26">
        <f>IF(AN158=21,L158,0)</f>
        <v>0</v>
      </c>
      <c r="AN158" s="26">
        <v>21</v>
      </c>
      <c r="AO158" s="26">
        <f>I158*0</f>
        <v>0</v>
      </c>
      <c r="AP158" s="26">
        <f>I158*(1-0)</f>
        <v>0</v>
      </c>
      <c r="AQ158" s="28" t="s">
        <v>535</v>
      </c>
      <c r="AV158" s="26">
        <f>AW158+AX158</f>
        <v>0</v>
      </c>
      <c r="AW158" s="26">
        <f>H158*AO158</f>
        <v>0</v>
      </c>
      <c r="AX158" s="26">
        <f>H158*AP158</f>
        <v>0</v>
      </c>
      <c r="AY158" s="28" t="s">
        <v>470</v>
      </c>
      <c r="AZ158" s="28" t="s">
        <v>190</v>
      </c>
      <c r="BA158" s="1" t="s">
        <v>397</v>
      </c>
      <c r="BC158" s="26">
        <f>AW158+AX158</f>
        <v>0</v>
      </c>
      <c r="BD158" s="26">
        <f>I158/(100-BE158)*100</f>
        <v>0</v>
      </c>
      <c r="BE158" s="26">
        <v>0</v>
      </c>
      <c r="BF158" s="26">
        <f>158</f>
        <v>158</v>
      </c>
      <c r="BH158" s="26">
        <f>H158*AO158</f>
        <v>0</v>
      </c>
      <c r="BI158" s="26">
        <f>H158*AP158</f>
        <v>0</v>
      </c>
      <c r="BJ158" s="26">
        <f>H158*I158</f>
        <v>0</v>
      </c>
      <c r="BK158" s="26"/>
      <c r="BL158" s="26">
        <v>96</v>
      </c>
    </row>
    <row r="159" spans="1:64" ht="15" customHeight="1">
      <c r="A159" s="33" t="s">
        <v>343</v>
      </c>
      <c r="B159" s="6" t="s">
        <v>204</v>
      </c>
      <c r="C159" s="62" t="s">
        <v>597</v>
      </c>
      <c r="D159" s="62"/>
      <c r="E159" s="62"/>
      <c r="F159" s="62"/>
      <c r="G159" s="6" t="s">
        <v>528</v>
      </c>
      <c r="H159" s="26">
        <v>17.571</v>
      </c>
      <c r="I159" s="26">
        <v>0</v>
      </c>
      <c r="J159" s="26">
        <f>H159*AO159</f>
        <v>0</v>
      </c>
      <c r="K159" s="26">
        <f>H159*AP159</f>
        <v>0</v>
      </c>
      <c r="L159" s="26">
        <f>H159*I159</f>
        <v>0</v>
      </c>
      <c r="M159" s="2" t="s">
        <v>197</v>
      </c>
      <c r="Z159" s="26">
        <f>IF(AQ159="5",BJ159,0)</f>
        <v>0</v>
      </c>
      <c r="AB159" s="26">
        <f>IF(AQ159="1",BH159,0)</f>
        <v>0</v>
      </c>
      <c r="AC159" s="26">
        <f>IF(AQ159="1",BI159,0)</f>
        <v>0</v>
      </c>
      <c r="AD159" s="26">
        <f>IF(AQ159="7",BH159,0)</f>
        <v>0</v>
      </c>
      <c r="AE159" s="26">
        <f>IF(AQ159="7",BI159,0)</f>
        <v>0</v>
      </c>
      <c r="AF159" s="26">
        <f>IF(AQ159="2",BH159,0)</f>
        <v>0</v>
      </c>
      <c r="AG159" s="26">
        <f>IF(AQ159="2",BI159,0)</f>
        <v>0</v>
      </c>
      <c r="AH159" s="26">
        <f>IF(AQ159="0",BJ159,0)</f>
        <v>0</v>
      </c>
      <c r="AI159" s="1" t="s">
        <v>356</v>
      </c>
      <c r="AJ159" s="26">
        <f>IF(AN159=0,L159,0)</f>
        <v>0</v>
      </c>
      <c r="AK159" s="26">
        <f>IF(AN159=15,L159,0)</f>
        <v>0</v>
      </c>
      <c r="AL159" s="26">
        <f>IF(AN159=21,L159,0)</f>
        <v>0</v>
      </c>
      <c r="AN159" s="26">
        <v>21</v>
      </c>
      <c r="AO159" s="26">
        <f>I159*0</f>
        <v>0</v>
      </c>
      <c r="AP159" s="26">
        <f>I159*(1-0)</f>
        <v>0</v>
      </c>
      <c r="AQ159" s="28" t="s">
        <v>535</v>
      </c>
      <c r="AV159" s="26">
        <f>AW159+AX159</f>
        <v>0</v>
      </c>
      <c r="AW159" s="26">
        <f>H159*AO159</f>
        <v>0</v>
      </c>
      <c r="AX159" s="26">
        <f>H159*AP159</f>
        <v>0</v>
      </c>
      <c r="AY159" s="28" t="s">
        <v>470</v>
      </c>
      <c r="AZ159" s="28" t="s">
        <v>190</v>
      </c>
      <c r="BA159" s="1" t="s">
        <v>397</v>
      </c>
      <c r="BC159" s="26">
        <f>AW159+AX159</f>
        <v>0</v>
      </c>
      <c r="BD159" s="26">
        <f>I159/(100-BE159)*100</f>
        <v>0</v>
      </c>
      <c r="BE159" s="26">
        <v>0</v>
      </c>
      <c r="BF159" s="26">
        <f>159</f>
        <v>159</v>
      </c>
      <c r="BH159" s="26">
        <f>H159*AO159</f>
        <v>0</v>
      </c>
      <c r="BI159" s="26">
        <f>H159*AP159</f>
        <v>0</v>
      </c>
      <c r="BJ159" s="26">
        <f>H159*I159</f>
        <v>0</v>
      </c>
      <c r="BK159" s="26"/>
      <c r="BL159" s="26">
        <v>96</v>
      </c>
    </row>
    <row r="160" spans="1:13" ht="15" customHeight="1">
      <c r="A160" s="31"/>
      <c r="C160" s="37" t="s">
        <v>472</v>
      </c>
      <c r="F160" s="37" t="s">
        <v>356</v>
      </c>
      <c r="H160" s="20">
        <v>12.174000000000001</v>
      </c>
      <c r="M160" s="55"/>
    </row>
    <row r="161" spans="1:13" ht="15" customHeight="1">
      <c r="A161" s="31"/>
      <c r="C161" s="37" t="s">
        <v>162</v>
      </c>
      <c r="F161" s="37" t="s">
        <v>356</v>
      </c>
      <c r="H161" s="20">
        <v>5.397</v>
      </c>
      <c r="M161" s="55"/>
    </row>
    <row r="162" spans="1:64" ht="15" customHeight="1">
      <c r="A162" s="33" t="s">
        <v>16</v>
      </c>
      <c r="B162" s="6" t="s">
        <v>270</v>
      </c>
      <c r="C162" s="62" t="s">
        <v>559</v>
      </c>
      <c r="D162" s="62"/>
      <c r="E162" s="62"/>
      <c r="F162" s="62"/>
      <c r="G162" s="6" t="s">
        <v>528</v>
      </c>
      <c r="H162" s="26">
        <v>17.571</v>
      </c>
      <c r="I162" s="26">
        <v>0</v>
      </c>
      <c r="J162" s="26">
        <f>H162*AO162</f>
        <v>0</v>
      </c>
      <c r="K162" s="26">
        <f>H162*AP162</f>
        <v>0</v>
      </c>
      <c r="L162" s="26">
        <f>H162*I162</f>
        <v>0</v>
      </c>
      <c r="M162" s="2" t="s">
        <v>197</v>
      </c>
      <c r="Z162" s="26">
        <f>IF(AQ162="5",BJ162,0)</f>
        <v>0</v>
      </c>
      <c r="AB162" s="26">
        <f>IF(AQ162="1",BH162,0)</f>
        <v>0</v>
      </c>
      <c r="AC162" s="26">
        <f>IF(AQ162="1",BI162,0)</f>
        <v>0</v>
      </c>
      <c r="AD162" s="26">
        <f>IF(AQ162="7",BH162,0)</f>
        <v>0</v>
      </c>
      <c r="AE162" s="26">
        <f>IF(AQ162="7",BI162,0)</f>
        <v>0</v>
      </c>
      <c r="AF162" s="26">
        <f>IF(AQ162="2",BH162,0)</f>
        <v>0</v>
      </c>
      <c r="AG162" s="26">
        <f>IF(AQ162="2",BI162,0)</f>
        <v>0</v>
      </c>
      <c r="AH162" s="26">
        <f>IF(AQ162="0",BJ162,0)</f>
        <v>0</v>
      </c>
      <c r="AI162" s="1" t="s">
        <v>356</v>
      </c>
      <c r="AJ162" s="26">
        <f>IF(AN162=0,L162,0)</f>
        <v>0</v>
      </c>
      <c r="AK162" s="26">
        <f>IF(AN162=15,L162,0)</f>
        <v>0</v>
      </c>
      <c r="AL162" s="26">
        <f>IF(AN162=21,L162,0)</f>
        <v>0</v>
      </c>
      <c r="AN162" s="26">
        <v>21</v>
      </c>
      <c r="AO162" s="26">
        <f>I162*0</f>
        <v>0</v>
      </c>
      <c r="AP162" s="26">
        <f>I162*(1-0)</f>
        <v>0</v>
      </c>
      <c r="AQ162" s="28" t="s">
        <v>535</v>
      </c>
      <c r="AV162" s="26">
        <f>AW162+AX162</f>
        <v>0</v>
      </c>
      <c r="AW162" s="26">
        <f>H162*AO162</f>
        <v>0</v>
      </c>
      <c r="AX162" s="26">
        <f>H162*AP162</f>
        <v>0</v>
      </c>
      <c r="AY162" s="28" t="s">
        <v>470</v>
      </c>
      <c r="AZ162" s="28" t="s">
        <v>190</v>
      </c>
      <c r="BA162" s="1" t="s">
        <v>397</v>
      </c>
      <c r="BC162" s="26">
        <f>AW162+AX162</f>
        <v>0</v>
      </c>
      <c r="BD162" s="26">
        <f>I162/(100-BE162)*100</f>
        <v>0</v>
      </c>
      <c r="BE162" s="26">
        <v>0</v>
      </c>
      <c r="BF162" s="26">
        <f>162</f>
        <v>162</v>
      </c>
      <c r="BH162" s="26">
        <f>H162*AO162</f>
        <v>0</v>
      </c>
      <c r="BI162" s="26">
        <f>H162*AP162</f>
        <v>0</v>
      </c>
      <c r="BJ162" s="26">
        <f>H162*I162</f>
        <v>0</v>
      </c>
      <c r="BK162" s="26"/>
      <c r="BL162" s="26">
        <v>96</v>
      </c>
    </row>
    <row r="163" spans="1:13" ht="15" customHeight="1">
      <c r="A163" s="31"/>
      <c r="C163" s="37" t="s">
        <v>472</v>
      </c>
      <c r="F163" s="37" t="s">
        <v>356</v>
      </c>
      <c r="H163" s="20">
        <v>12.174000000000001</v>
      </c>
      <c r="M163" s="55"/>
    </row>
    <row r="164" spans="1:13" ht="15" customHeight="1">
      <c r="A164" s="31"/>
      <c r="C164" s="37" t="s">
        <v>162</v>
      </c>
      <c r="F164" s="37" t="s">
        <v>356</v>
      </c>
      <c r="H164" s="20">
        <v>5.397</v>
      </c>
      <c r="M164" s="55"/>
    </row>
    <row r="165" spans="1:64" ht="15" customHeight="1">
      <c r="A165" s="33" t="s">
        <v>578</v>
      </c>
      <c r="B165" s="6" t="s">
        <v>542</v>
      </c>
      <c r="C165" s="62" t="s">
        <v>360</v>
      </c>
      <c r="D165" s="62"/>
      <c r="E165" s="62"/>
      <c r="F165" s="62"/>
      <c r="G165" s="6" t="s">
        <v>141</v>
      </c>
      <c r="H165" s="26">
        <v>7</v>
      </c>
      <c r="I165" s="26">
        <v>0</v>
      </c>
      <c r="J165" s="26">
        <f>H165*AO165</f>
        <v>0</v>
      </c>
      <c r="K165" s="26">
        <f>H165*AP165</f>
        <v>0</v>
      </c>
      <c r="L165" s="26">
        <f>H165*I165</f>
        <v>0</v>
      </c>
      <c r="M165" s="2" t="s">
        <v>197</v>
      </c>
      <c r="Z165" s="26">
        <f>IF(AQ165="5",BJ165,0)</f>
        <v>0</v>
      </c>
      <c r="AB165" s="26">
        <f>IF(AQ165="1",BH165,0)</f>
        <v>0</v>
      </c>
      <c r="AC165" s="26">
        <f>IF(AQ165="1",BI165,0)</f>
        <v>0</v>
      </c>
      <c r="AD165" s="26">
        <f>IF(AQ165="7",BH165,0)</f>
        <v>0</v>
      </c>
      <c r="AE165" s="26">
        <f>IF(AQ165="7",BI165,0)</f>
        <v>0</v>
      </c>
      <c r="AF165" s="26">
        <f>IF(AQ165="2",BH165,0)</f>
        <v>0</v>
      </c>
      <c r="AG165" s="26">
        <f>IF(AQ165="2",BI165,0)</f>
        <v>0</v>
      </c>
      <c r="AH165" s="26">
        <f>IF(AQ165="0",BJ165,0)</f>
        <v>0</v>
      </c>
      <c r="AI165" s="1" t="s">
        <v>356</v>
      </c>
      <c r="AJ165" s="26">
        <f>IF(AN165=0,L165,0)</f>
        <v>0</v>
      </c>
      <c r="AK165" s="26">
        <f>IF(AN165=15,L165,0)</f>
        <v>0</v>
      </c>
      <c r="AL165" s="26">
        <f>IF(AN165=21,L165,0)</f>
        <v>0</v>
      </c>
      <c r="AN165" s="26">
        <v>21</v>
      </c>
      <c r="AO165" s="26">
        <f>I165*0</f>
        <v>0</v>
      </c>
      <c r="AP165" s="26">
        <f>I165*(1-0)</f>
        <v>0</v>
      </c>
      <c r="AQ165" s="28" t="s">
        <v>535</v>
      </c>
      <c r="AV165" s="26">
        <f>AW165+AX165</f>
        <v>0</v>
      </c>
      <c r="AW165" s="26">
        <f>H165*AO165</f>
        <v>0</v>
      </c>
      <c r="AX165" s="26">
        <f>H165*AP165</f>
        <v>0</v>
      </c>
      <c r="AY165" s="28" t="s">
        <v>470</v>
      </c>
      <c r="AZ165" s="28" t="s">
        <v>190</v>
      </c>
      <c r="BA165" s="1" t="s">
        <v>397</v>
      </c>
      <c r="BC165" s="26">
        <f>AW165+AX165</f>
        <v>0</v>
      </c>
      <c r="BD165" s="26">
        <f>I165/(100-BE165)*100</f>
        <v>0</v>
      </c>
      <c r="BE165" s="26">
        <v>0</v>
      </c>
      <c r="BF165" s="26">
        <f>165</f>
        <v>165</v>
      </c>
      <c r="BH165" s="26">
        <f>H165*AO165</f>
        <v>0</v>
      </c>
      <c r="BI165" s="26">
        <f>H165*AP165</f>
        <v>0</v>
      </c>
      <c r="BJ165" s="26">
        <f>H165*I165</f>
        <v>0</v>
      </c>
      <c r="BK165" s="26"/>
      <c r="BL165" s="26">
        <v>96</v>
      </c>
    </row>
    <row r="166" spans="1:13" ht="15" customHeight="1">
      <c r="A166" s="31"/>
      <c r="C166" s="37" t="s">
        <v>62</v>
      </c>
      <c r="F166" s="37" t="s">
        <v>356</v>
      </c>
      <c r="H166" s="20">
        <v>7.000000000000001</v>
      </c>
      <c r="M166" s="55"/>
    </row>
    <row r="167" spans="1:47" ht="15" customHeight="1">
      <c r="A167" s="34" t="s">
        <v>356</v>
      </c>
      <c r="B167" s="52" t="s">
        <v>569</v>
      </c>
      <c r="C167" s="77" t="s">
        <v>179</v>
      </c>
      <c r="D167" s="77"/>
      <c r="E167" s="77"/>
      <c r="F167" s="77"/>
      <c r="G167" s="5" t="s">
        <v>492</v>
      </c>
      <c r="H167" s="5" t="s">
        <v>492</v>
      </c>
      <c r="I167" s="5" t="s">
        <v>492</v>
      </c>
      <c r="J167" s="47">
        <f>SUM(J168:J168)</f>
        <v>0</v>
      </c>
      <c r="K167" s="47">
        <f>SUM(K168:K168)</f>
        <v>0</v>
      </c>
      <c r="L167" s="47">
        <f>SUM(L168:L168)</f>
        <v>0</v>
      </c>
      <c r="M167" s="13" t="s">
        <v>356</v>
      </c>
      <c r="AI167" s="1" t="s">
        <v>356</v>
      </c>
      <c r="AS167" s="47">
        <f>SUM(AJ168:AJ168)</f>
        <v>0</v>
      </c>
      <c r="AT167" s="47">
        <f>SUM(AK168:AK168)</f>
        <v>0</v>
      </c>
      <c r="AU167" s="47">
        <f>SUM(AL168:AL168)</f>
        <v>0</v>
      </c>
    </row>
    <row r="168" spans="1:64" ht="15" customHeight="1">
      <c r="A168" s="33" t="s">
        <v>572</v>
      </c>
      <c r="B168" s="6" t="s">
        <v>209</v>
      </c>
      <c r="C168" s="62" t="s">
        <v>573</v>
      </c>
      <c r="D168" s="62"/>
      <c r="E168" s="62"/>
      <c r="F168" s="62"/>
      <c r="G168" s="6" t="s">
        <v>243</v>
      </c>
      <c r="H168" s="26">
        <v>1.216</v>
      </c>
      <c r="I168" s="26">
        <v>0</v>
      </c>
      <c r="J168" s="26">
        <f>H168*AO168</f>
        <v>0</v>
      </c>
      <c r="K168" s="26">
        <f>H168*AP168</f>
        <v>0</v>
      </c>
      <c r="L168" s="26">
        <f>H168*I168</f>
        <v>0</v>
      </c>
      <c r="M168" s="2" t="s">
        <v>197</v>
      </c>
      <c r="Z168" s="26">
        <f>IF(AQ168="5",BJ168,0)</f>
        <v>0</v>
      </c>
      <c r="AB168" s="26">
        <f>IF(AQ168="1",BH168,0)</f>
        <v>0</v>
      </c>
      <c r="AC168" s="26">
        <f>IF(AQ168="1",BI168,0)</f>
        <v>0</v>
      </c>
      <c r="AD168" s="26">
        <f>IF(AQ168="7",BH168,0)</f>
        <v>0</v>
      </c>
      <c r="AE168" s="26">
        <f>IF(AQ168="7",BI168,0)</f>
        <v>0</v>
      </c>
      <c r="AF168" s="26">
        <f>IF(AQ168="2",BH168,0)</f>
        <v>0</v>
      </c>
      <c r="AG168" s="26">
        <f>IF(AQ168="2",BI168,0)</f>
        <v>0</v>
      </c>
      <c r="AH168" s="26">
        <f>IF(AQ168="0",BJ168,0)</f>
        <v>0</v>
      </c>
      <c r="AI168" s="1" t="s">
        <v>356</v>
      </c>
      <c r="AJ168" s="26">
        <f>IF(AN168=0,L168,0)</f>
        <v>0</v>
      </c>
      <c r="AK168" s="26">
        <f>IF(AN168=15,L168,0)</f>
        <v>0</v>
      </c>
      <c r="AL168" s="26">
        <f>IF(AN168=21,L168,0)</f>
        <v>0</v>
      </c>
      <c r="AN168" s="26">
        <v>21</v>
      </c>
      <c r="AO168" s="26">
        <f>I168*0</f>
        <v>0</v>
      </c>
      <c r="AP168" s="26">
        <f>I168*(1-0)</f>
        <v>0</v>
      </c>
      <c r="AQ168" s="28" t="s">
        <v>279</v>
      </c>
      <c r="AV168" s="26">
        <f>AW168+AX168</f>
        <v>0</v>
      </c>
      <c r="AW168" s="26">
        <f>H168*AO168</f>
        <v>0</v>
      </c>
      <c r="AX168" s="26">
        <f>H168*AP168</f>
        <v>0</v>
      </c>
      <c r="AY168" s="28" t="s">
        <v>268</v>
      </c>
      <c r="AZ168" s="28" t="s">
        <v>190</v>
      </c>
      <c r="BA168" s="1" t="s">
        <v>397</v>
      </c>
      <c r="BC168" s="26">
        <f>AW168+AX168</f>
        <v>0</v>
      </c>
      <c r="BD168" s="26">
        <f>I168/(100-BE168)*100</f>
        <v>0</v>
      </c>
      <c r="BE168" s="26">
        <v>0</v>
      </c>
      <c r="BF168" s="26">
        <f>168</f>
        <v>168</v>
      </c>
      <c r="BH168" s="26">
        <f>H168*AO168</f>
        <v>0</v>
      </c>
      <c r="BI168" s="26">
        <f>H168*AP168</f>
        <v>0</v>
      </c>
      <c r="BJ168" s="26">
        <f>H168*I168</f>
        <v>0</v>
      </c>
      <c r="BK168" s="26"/>
      <c r="BL168" s="26"/>
    </row>
    <row r="169" spans="1:13" ht="15" customHeight="1">
      <c r="A169" s="31"/>
      <c r="C169" s="37" t="s">
        <v>450</v>
      </c>
      <c r="F169" s="37" t="s">
        <v>356</v>
      </c>
      <c r="H169" s="20">
        <v>1.2160000000000002</v>
      </c>
      <c r="M169" s="55"/>
    </row>
    <row r="170" spans="1:47" ht="15" customHeight="1">
      <c r="A170" s="34" t="s">
        <v>356</v>
      </c>
      <c r="B170" s="52" t="s">
        <v>85</v>
      </c>
      <c r="C170" s="77" t="s">
        <v>395</v>
      </c>
      <c r="D170" s="77"/>
      <c r="E170" s="77"/>
      <c r="F170" s="77"/>
      <c r="G170" s="5" t="s">
        <v>492</v>
      </c>
      <c r="H170" s="5" t="s">
        <v>492</v>
      </c>
      <c r="I170" s="5" t="s">
        <v>492</v>
      </c>
      <c r="J170" s="47">
        <f>SUM(J171:J203)</f>
        <v>0</v>
      </c>
      <c r="K170" s="47">
        <f>SUM(K171:K203)</f>
        <v>0</v>
      </c>
      <c r="L170" s="47">
        <f>SUM(L171:L203)</f>
        <v>0</v>
      </c>
      <c r="M170" s="13" t="s">
        <v>356</v>
      </c>
      <c r="AI170" s="1" t="s">
        <v>356</v>
      </c>
      <c r="AS170" s="47">
        <f>SUM(AJ171:AJ203)</f>
        <v>0</v>
      </c>
      <c r="AT170" s="47">
        <f>SUM(AK171:AK203)</f>
        <v>0</v>
      </c>
      <c r="AU170" s="47">
        <f>SUM(AL171:AL203)</f>
        <v>0</v>
      </c>
    </row>
    <row r="171" spans="1:64" ht="15" customHeight="1">
      <c r="A171" s="33" t="s">
        <v>571</v>
      </c>
      <c r="B171" s="6" t="s">
        <v>101</v>
      </c>
      <c r="C171" s="62" t="s">
        <v>383</v>
      </c>
      <c r="D171" s="62"/>
      <c r="E171" s="62"/>
      <c r="F171" s="62"/>
      <c r="G171" s="6" t="s">
        <v>438</v>
      </c>
      <c r="H171" s="26">
        <v>10</v>
      </c>
      <c r="I171" s="26">
        <v>0</v>
      </c>
      <c r="J171" s="26">
        <f aca="true" t="shared" si="66" ref="J171:J203">H171*AO171</f>
        <v>0</v>
      </c>
      <c r="K171" s="26">
        <f aca="true" t="shared" si="67" ref="K171:K203">H171*AP171</f>
        <v>0</v>
      </c>
      <c r="L171" s="26">
        <f aca="true" t="shared" si="68" ref="L171:L203">H171*I171</f>
        <v>0</v>
      </c>
      <c r="M171" s="2" t="s">
        <v>197</v>
      </c>
      <c r="Z171" s="26">
        <f aca="true" t="shared" si="69" ref="Z171:Z203">IF(AQ171="5",BJ171,0)</f>
        <v>0</v>
      </c>
      <c r="AB171" s="26">
        <f aca="true" t="shared" si="70" ref="AB171:AB203">IF(AQ171="1",BH171,0)</f>
        <v>0</v>
      </c>
      <c r="AC171" s="26">
        <f aca="true" t="shared" si="71" ref="AC171:AC203">IF(AQ171="1",BI171,0)</f>
        <v>0</v>
      </c>
      <c r="AD171" s="26">
        <f aca="true" t="shared" si="72" ref="AD171:AD203">IF(AQ171="7",BH171,0)</f>
        <v>0</v>
      </c>
      <c r="AE171" s="26">
        <f aca="true" t="shared" si="73" ref="AE171:AE203">IF(AQ171="7",BI171,0)</f>
        <v>0</v>
      </c>
      <c r="AF171" s="26">
        <f aca="true" t="shared" si="74" ref="AF171:AF203">IF(AQ171="2",BH171,0)</f>
        <v>0</v>
      </c>
      <c r="AG171" s="26">
        <f aca="true" t="shared" si="75" ref="AG171:AG203">IF(AQ171="2",BI171,0)</f>
        <v>0</v>
      </c>
      <c r="AH171" s="26">
        <f aca="true" t="shared" si="76" ref="AH171:AH203">IF(AQ171="0",BJ171,0)</f>
        <v>0</v>
      </c>
      <c r="AI171" s="1" t="s">
        <v>356</v>
      </c>
      <c r="AJ171" s="26">
        <f aca="true" t="shared" si="77" ref="AJ171:AJ203">IF(AN171=0,L171,0)</f>
        <v>0</v>
      </c>
      <c r="AK171" s="26">
        <f aca="true" t="shared" si="78" ref="AK171:AK203">IF(AN171=15,L171,0)</f>
        <v>0</v>
      </c>
      <c r="AL171" s="26">
        <f aca="true" t="shared" si="79" ref="AL171:AL203">IF(AN171=21,L171,0)</f>
        <v>0</v>
      </c>
      <c r="AN171" s="26">
        <v>21</v>
      </c>
      <c r="AO171" s="26">
        <f>I171*0.359712230215827</f>
        <v>0</v>
      </c>
      <c r="AP171" s="26">
        <f>I171*(1-0.359712230215827)</f>
        <v>0</v>
      </c>
      <c r="AQ171" s="28" t="s">
        <v>353</v>
      </c>
      <c r="AV171" s="26">
        <f aca="true" t="shared" si="80" ref="AV171:AV203">AW171+AX171</f>
        <v>0</v>
      </c>
      <c r="AW171" s="26">
        <f aca="true" t="shared" si="81" ref="AW171:AW203">H171*AO171</f>
        <v>0</v>
      </c>
      <c r="AX171" s="26">
        <f aca="true" t="shared" si="82" ref="AX171:AX203">H171*AP171</f>
        <v>0</v>
      </c>
      <c r="AY171" s="28" t="s">
        <v>560</v>
      </c>
      <c r="AZ171" s="28" t="s">
        <v>190</v>
      </c>
      <c r="BA171" s="1" t="s">
        <v>397</v>
      </c>
      <c r="BC171" s="26">
        <f aca="true" t="shared" si="83" ref="BC171:BC203">AW171+AX171</f>
        <v>0</v>
      </c>
      <c r="BD171" s="26">
        <f aca="true" t="shared" si="84" ref="BD171:BD203">I171/(100-BE171)*100</f>
        <v>0</v>
      </c>
      <c r="BE171" s="26">
        <v>0</v>
      </c>
      <c r="BF171" s="26">
        <f>171</f>
        <v>171</v>
      </c>
      <c r="BH171" s="26">
        <f aca="true" t="shared" si="85" ref="BH171:BH203">H171*AO171</f>
        <v>0</v>
      </c>
      <c r="BI171" s="26">
        <f aca="true" t="shared" si="86" ref="BI171:BI203">H171*AP171</f>
        <v>0</v>
      </c>
      <c r="BJ171" s="26">
        <f aca="true" t="shared" si="87" ref="BJ171:BJ203">H171*I171</f>
        <v>0</v>
      </c>
      <c r="BK171" s="26"/>
      <c r="BL171" s="26"/>
    </row>
    <row r="172" spans="1:64" ht="15" customHeight="1">
      <c r="A172" s="33" t="s">
        <v>15</v>
      </c>
      <c r="B172" s="6" t="s">
        <v>76</v>
      </c>
      <c r="C172" s="62" t="s">
        <v>235</v>
      </c>
      <c r="D172" s="62"/>
      <c r="E172" s="62"/>
      <c r="F172" s="62"/>
      <c r="G172" s="6" t="s">
        <v>438</v>
      </c>
      <c r="H172" s="26">
        <v>6</v>
      </c>
      <c r="I172" s="26">
        <v>0</v>
      </c>
      <c r="J172" s="26">
        <f t="shared" si="66"/>
        <v>0</v>
      </c>
      <c r="K172" s="26">
        <f t="shared" si="67"/>
        <v>0</v>
      </c>
      <c r="L172" s="26">
        <f t="shared" si="68"/>
        <v>0</v>
      </c>
      <c r="M172" s="2" t="s">
        <v>197</v>
      </c>
      <c r="Z172" s="26">
        <f t="shared" si="69"/>
        <v>0</v>
      </c>
      <c r="AB172" s="26">
        <f t="shared" si="70"/>
        <v>0</v>
      </c>
      <c r="AC172" s="26">
        <f t="shared" si="71"/>
        <v>0</v>
      </c>
      <c r="AD172" s="26">
        <f t="shared" si="72"/>
        <v>0</v>
      </c>
      <c r="AE172" s="26">
        <f t="shared" si="73"/>
        <v>0</v>
      </c>
      <c r="AF172" s="26">
        <f t="shared" si="74"/>
        <v>0</v>
      </c>
      <c r="AG172" s="26">
        <f t="shared" si="75"/>
        <v>0</v>
      </c>
      <c r="AH172" s="26">
        <f t="shared" si="76"/>
        <v>0</v>
      </c>
      <c r="AI172" s="1" t="s">
        <v>356</v>
      </c>
      <c r="AJ172" s="26">
        <f t="shared" si="77"/>
        <v>0</v>
      </c>
      <c r="AK172" s="26">
        <f t="shared" si="78"/>
        <v>0</v>
      </c>
      <c r="AL172" s="26">
        <f t="shared" si="79"/>
        <v>0</v>
      </c>
      <c r="AN172" s="26">
        <v>21</v>
      </c>
      <c r="AO172" s="26">
        <f>I172*0.48029197080292</f>
        <v>0</v>
      </c>
      <c r="AP172" s="26">
        <f>I172*(1-0.48029197080292)</f>
        <v>0</v>
      </c>
      <c r="AQ172" s="28" t="s">
        <v>353</v>
      </c>
      <c r="AV172" s="26">
        <f t="shared" si="80"/>
        <v>0</v>
      </c>
      <c r="AW172" s="26">
        <f t="shared" si="81"/>
        <v>0</v>
      </c>
      <c r="AX172" s="26">
        <f t="shared" si="82"/>
        <v>0</v>
      </c>
      <c r="AY172" s="28" t="s">
        <v>560</v>
      </c>
      <c r="AZ172" s="28" t="s">
        <v>190</v>
      </c>
      <c r="BA172" s="1" t="s">
        <v>397</v>
      </c>
      <c r="BC172" s="26">
        <f t="shared" si="83"/>
        <v>0</v>
      </c>
      <c r="BD172" s="26">
        <f t="shared" si="84"/>
        <v>0</v>
      </c>
      <c r="BE172" s="26">
        <v>0</v>
      </c>
      <c r="BF172" s="26">
        <f>172</f>
        <v>172</v>
      </c>
      <c r="BH172" s="26">
        <f t="shared" si="85"/>
        <v>0</v>
      </c>
      <c r="BI172" s="26">
        <f t="shared" si="86"/>
        <v>0</v>
      </c>
      <c r="BJ172" s="26">
        <f t="shared" si="87"/>
        <v>0</v>
      </c>
      <c r="BK172" s="26"/>
      <c r="BL172" s="26"/>
    </row>
    <row r="173" spans="1:64" ht="15" customHeight="1">
      <c r="A173" s="33" t="s">
        <v>0</v>
      </c>
      <c r="B173" s="6" t="s">
        <v>421</v>
      </c>
      <c r="C173" s="62" t="s">
        <v>455</v>
      </c>
      <c r="D173" s="62"/>
      <c r="E173" s="62"/>
      <c r="F173" s="62"/>
      <c r="G173" s="6" t="s">
        <v>438</v>
      </c>
      <c r="H173" s="26">
        <v>5</v>
      </c>
      <c r="I173" s="26">
        <v>0</v>
      </c>
      <c r="J173" s="26">
        <f t="shared" si="66"/>
        <v>0</v>
      </c>
      <c r="K173" s="26">
        <f t="shared" si="67"/>
        <v>0</v>
      </c>
      <c r="L173" s="26">
        <f t="shared" si="68"/>
        <v>0</v>
      </c>
      <c r="M173" s="2" t="s">
        <v>197</v>
      </c>
      <c r="Z173" s="26">
        <f t="shared" si="69"/>
        <v>0</v>
      </c>
      <c r="AB173" s="26">
        <f t="shared" si="70"/>
        <v>0</v>
      </c>
      <c r="AC173" s="26">
        <f t="shared" si="71"/>
        <v>0</v>
      </c>
      <c r="AD173" s="26">
        <f t="shared" si="72"/>
        <v>0</v>
      </c>
      <c r="AE173" s="26">
        <f t="shared" si="73"/>
        <v>0</v>
      </c>
      <c r="AF173" s="26">
        <f t="shared" si="74"/>
        <v>0</v>
      </c>
      <c r="AG173" s="26">
        <f t="shared" si="75"/>
        <v>0</v>
      </c>
      <c r="AH173" s="26">
        <f t="shared" si="76"/>
        <v>0</v>
      </c>
      <c r="AI173" s="1" t="s">
        <v>356</v>
      </c>
      <c r="AJ173" s="26">
        <f t="shared" si="77"/>
        <v>0</v>
      </c>
      <c r="AK173" s="26">
        <f t="shared" si="78"/>
        <v>0</v>
      </c>
      <c r="AL173" s="26">
        <f t="shared" si="79"/>
        <v>0</v>
      </c>
      <c r="AN173" s="26">
        <v>21</v>
      </c>
      <c r="AO173" s="26">
        <f>I173*0.592432791237969</f>
        <v>0</v>
      </c>
      <c r="AP173" s="26">
        <f>I173*(1-0.592432791237969)</f>
        <v>0</v>
      </c>
      <c r="AQ173" s="28" t="s">
        <v>353</v>
      </c>
      <c r="AV173" s="26">
        <f t="shared" si="80"/>
        <v>0</v>
      </c>
      <c r="AW173" s="26">
        <f t="shared" si="81"/>
        <v>0</v>
      </c>
      <c r="AX173" s="26">
        <f t="shared" si="82"/>
        <v>0</v>
      </c>
      <c r="AY173" s="28" t="s">
        <v>560</v>
      </c>
      <c r="AZ173" s="28" t="s">
        <v>190</v>
      </c>
      <c r="BA173" s="1" t="s">
        <v>397</v>
      </c>
      <c r="BC173" s="26">
        <f t="shared" si="83"/>
        <v>0</v>
      </c>
      <c r="BD173" s="26">
        <f t="shared" si="84"/>
        <v>0</v>
      </c>
      <c r="BE173" s="26">
        <v>0</v>
      </c>
      <c r="BF173" s="26">
        <f>173</f>
        <v>173</v>
      </c>
      <c r="BH173" s="26">
        <f t="shared" si="85"/>
        <v>0</v>
      </c>
      <c r="BI173" s="26">
        <f t="shared" si="86"/>
        <v>0</v>
      </c>
      <c r="BJ173" s="26">
        <f t="shared" si="87"/>
        <v>0</v>
      </c>
      <c r="BK173" s="26"/>
      <c r="BL173" s="26"/>
    </row>
    <row r="174" spans="1:64" ht="15" customHeight="1">
      <c r="A174" s="33" t="s">
        <v>484</v>
      </c>
      <c r="B174" s="6" t="s">
        <v>361</v>
      </c>
      <c r="C174" s="62" t="s">
        <v>22</v>
      </c>
      <c r="D174" s="62"/>
      <c r="E174" s="62"/>
      <c r="F174" s="62"/>
      <c r="G174" s="6" t="s">
        <v>438</v>
      </c>
      <c r="H174" s="26">
        <v>14</v>
      </c>
      <c r="I174" s="26">
        <v>0</v>
      </c>
      <c r="J174" s="26">
        <f t="shared" si="66"/>
        <v>0</v>
      </c>
      <c r="K174" s="26">
        <f t="shared" si="67"/>
        <v>0</v>
      </c>
      <c r="L174" s="26">
        <f t="shared" si="68"/>
        <v>0</v>
      </c>
      <c r="M174" s="2" t="s">
        <v>197</v>
      </c>
      <c r="Z174" s="26">
        <f t="shared" si="69"/>
        <v>0</v>
      </c>
      <c r="AB174" s="26">
        <f t="shared" si="70"/>
        <v>0</v>
      </c>
      <c r="AC174" s="26">
        <f t="shared" si="71"/>
        <v>0</v>
      </c>
      <c r="AD174" s="26">
        <f t="shared" si="72"/>
        <v>0</v>
      </c>
      <c r="AE174" s="26">
        <f t="shared" si="73"/>
        <v>0</v>
      </c>
      <c r="AF174" s="26">
        <f t="shared" si="74"/>
        <v>0</v>
      </c>
      <c r="AG174" s="26">
        <f t="shared" si="75"/>
        <v>0</v>
      </c>
      <c r="AH174" s="26">
        <f t="shared" si="76"/>
        <v>0</v>
      </c>
      <c r="AI174" s="1" t="s">
        <v>356</v>
      </c>
      <c r="AJ174" s="26">
        <f t="shared" si="77"/>
        <v>0</v>
      </c>
      <c r="AK174" s="26">
        <f t="shared" si="78"/>
        <v>0</v>
      </c>
      <c r="AL174" s="26">
        <f t="shared" si="79"/>
        <v>0</v>
      </c>
      <c r="AN174" s="26">
        <v>21</v>
      </c>
      <c r="AO174" s="26">
        <f>I174*0.478770131771596</f>
        <v>0</v>
      </c>
      <c r="AP174" s="26">
        <f>I174*(1-0.478770131771596)</f>
        <v>0</v>
      </c>
      <c r="AQ174" s="28" t="s">
        <v>353</v>
      </c>
      <c r="AV174" s="26">
        <f t="shared" si="80"/>
        <v>0</v>
      </c>
      <c r="AW174" s="26">
        <f t="shared" si="81"/>
        <v>0</v>
      </c>
      <c r="AX174" s="26">
        <f t="shared" si="82"/>
        <v>0</v>
      </c>
      <c r="AY174" s="28" t="s">
        <v>560</v>
      </c>
      <c r="AZ174" s="28" t="s">
        <v>190</v>
      </c>
      <c r="BA174" s="1" t="s">
        <v>397</v>
      </c>
      <c r="BC174" s="26">
        <f t="shared" si="83"/>
        <v>0</v>
      </c>
      <c r="BD174" s="26">
        <f t="shared" si="84"/>
        <v>0</v>
      </c>
      <c r="BE174" s="26">
        <v>0</v>
      </c>
      <c r="BF174" s="26">
        <f>174</f>
        <v>174</v>
      </c>
      <c r="BH174" s="26">
        <f t="shared" si="85"/>
        <v>0</v>
      </c>
      <c r="BI174" s="26">
        <f t="shared" si="86"/>
        <v>0</v>
      </c>
      <c r="BJ174" s="26">
        <f t="shared" si="87"/>
        <v>0</v>
      </c>
      <c r="BK174" s="26"/>
      <c r="BL174" s="26"/>
    </row>
    <row r="175" spans="1:64" ht="15" customHeight="1">
      <c r="A175" s="33" t="s">
        <v>70</v>
      </c>
      <c r="B175" s="6" t="s">
        <v>392</v>
      </c>
      <c r="C175" s="62" t="s">
        <v>153</v>
      </c>
      <c r="D175" s="62"/>
      <c r="E175" s="62"/>
      <c r="F175" s="62"/>
      <c r="G175" s="6" t="s">
        <v>438</v>
      </c>
      <c r="H175" s="26">
        <v>6</v>
      </c>
      <c r="I175" s="26">
        <v>0</v>
      </c>
      <c r="J175" s="26">
        <f t="shared" si="66"/>
        <v>0</v>
      </c>
      <c r="K175" s="26">
        <f t="shared" si="67"/>
        <v>0</v>
      </c>
      <c r="L175" s="26">
        <f t="shared" si="68"/>
        <v>0</v>
      </c>
      <c r="M175" s="2" t="s">
        <v>197</v>
      </c>
      <c r="Z175" s="26">
        <f t="shared" si="69"/>
        <v>0</v>
      </c>
      <c r="AB175" s="26">
        <f t="shared" si="70"/>
        <v>0</v>
      </c>
      <c r="AC175" s="26">
        <f t="shared" si="71"/>
        <v>0</v>
      </c>
      <c r="AD175" s="26">
        <f t="shared" si="72"/>
        <v>0</v>
      </c>
      <c r="AE175" s="26">
        <f t="shared" si="73"/>
        <v>0</v>
      </c>
      <c r="AF175" s="26">
        <f t="shared" si="74"/>
        <v>0</v>
      </c>
      <c r="AG175" s="26">
        <f t="shared" si="75"/>
        <v>0</v>
      </c>
      <c r="AH175" s="26">
        <f t="shared" si="76"/>
        <v>0</v>
      </c>
      <c r="AI175" s="1" t="s">
        <v>356</v>
      </c>
      <c r="AJ175" s="26">
        <f t="shared" si="77"/>
        <v>0</v>
      </c>
      <c r="AK175" s="26">
        <f t="shared" si="78"/>
        <v>0</v>
      </c>
      <c r="AL175" s="26">
        <f t="shared" si="79"/>
        <v>0</v>
      </c>
      <c r="AN175" s="26">
        <v>21</v>
      </c>
      <c r="AO175" s="26">
        <f>I175*0.303924461493066</f>
        <v>0</v>
      </c>
      <c r="AP175" s="26">
        <f>I175*(1-0.303924461493066)</f>
        <v>0</v>
      </c>
      <c r="AQ175" s="28" t="s">
        <v>353</v>
      </c>
      <c r="AV175" s="26">
        <f t="shared" si="80"/>
        <v>0</v>
      </c>
      <c r="AW175" s="26">
        <f t="shared" si="81"/>
        <v>0</v>
      </c>
      <c r="AX175" s="26">
        <f t="shared" si="82"/>
        <v>0</v>
      </c>
      <c r="AY175" s="28" t="s">
        <v>560</v>
      </c>
      <c r="AZ175" s="28" t="s">
        <v>190</v>
      </c>
      <c r="BA175" s="1" t="s">
        <v>397</v>
      </c>
      <c r="BC175" s="26">
        <f t="shared" si="83"/>
        <v>0</v>
      </c>
      <c r="BD175" s="26">
        <f t="shared" si="84"/>
        <v>0</v>
      </c>
      <c r="BE175" s="26">
        <v>0</v>
      </c>
      <c r="BF175" s="26">
        <f>175</f>
        <v>175</v>
      </c>
      <c r="BH175" s="26">
        <f t="shared" si="85"/>
        <v>0</v>
      </c>
      <c r="BI175" s="26">
        <f t="shared" si="86"/>
        <v>0</v>
      </c>
      <c r="BJ175" s="26">
        <f t="shared" si="87"/>
        <v>0</v>
      </c>
      <c r="BK175" s="26"/>
      <c r="BL175" s="26"/>
    </row>
    <row r="176" spans="1:64" ht="15" customHeight="1">
      <c r="A176" s="33" t="s">
        <v>205</v>
      </c>
      <c r="B176" s="6" t="s">
        <v>44</v>
      </c>
      <c r="C176" s="62" t="s">
        <v>288</v>
      </c>
      <c r="D176" s="62"/>
      <c r="E176" s="62"/>
      <c r="F176" s="62"/>
      <c r="G176" s="6" t="s">
        <v>438</v>
      </c>
      <c r="H176" s="26">
        <v>10</v>
      </c>
      <c r="I176" s="26">
        <v>0</v>
      </c>
      <c r="J176" s="26">
        <f t="shared" si="66"/>
        <v>0</v>
      </c>
      <c r="K176" s="26">
        <f t="shared" si="67"/>
        <v>0</v>
      </c>
      <c r="L176" s="26">
        <f t="shared" si="68"/>
        <v>0</v>
      </c>
      <c r="M176" s="2" t="s">
        <v>197</v>
      </c>
      <c r="Z176" s="26">
        <f t="shared" si="69"/>
        <v>0</v>
      </c>
      <c r="AB176" s="26">
        <f t="shared" si="70"/>
        <v>0</v>
      </c>
      <c r="AC176" s="26">
        <f t="shared" si="71"/>
        <v>0</v>
      </c>
      <c r="AD176" s="26">
        <f t="shared" si="72"/>
        <v>0</v>
      </c>
      <c r="AE176" s="26">
        <f t="shared" si="73"/>
        <v>0</v>
      </c>
      <c r="AF176" s="26">
        <f t="shared" si="74"/>
        <v>0</v>
      </c>
      <c r="AG176" s="26">
        <f t="shared" si="75"/>
        <v>0</v>
      </c>
      <c r="AH176" s="26">
        <f t="shared" si="76"/>
        <v>0</v>
      </c>
      <c r="AI176" s="1" t="s">
        <v>356</v>
      </c>
      <c r="AJ176" s="26">
        <f t="shared" si="77"/>
        <v>0</v>
      </c>
      <c r="AK176" s="26">
        <f t="shared" si="78"/>
        <v>0</v>
      </c>
      <c r="AL176" s="26">
        <f t="shared" si="79"/>
        <v>0</v>
      </c>
      <c r="AN176" s="26">
        <v>21</v>
      </c>
      <c r="AO176" s="26">
        <f>I176*0.187934560327198</f>
        <v>0</v>
      </c>
      <c r="AP176" s="26">
        <f>I176*(1-0.187934560327198)</f>
        <v>0</v>
      </c>
      <c r="AQ176" s="28" t="s">
        <v>353</v>
      </c>
      <c r="AV176" s="26">
        <f t="shared" si="80"/>
        <v>0</v>
      </c>
      <c r="AW176" s="26">
        <f t="shared" si="81"/>
        <v>0</v>
      </c>
      <c r="AX176" s="26">
        <f t="shared" si="82"/>
        <v>0</v>
      </c>
      <c r="AY176" s="28" t="s">
        <v>560</v>
      </c>
      <c r="AZ176" s="28" t="s">
        <v>190</v>
      </c>
      <c r="BA176" s="1" t="s">
        <v>397</v>
      </c>
      <c r="BC176" s="26">
        <f t="shared" si="83"/>
        <v>0</v>
      </c>
      <c r="BD176" s="26">
        <f t="shared" si="84"/>
        <v>0</v>
      </c>
      <c r="BE176" s="26">
        <v>0</v>
      </c>
      <c r="BF176" s="26">
        <f>176</f>
        <v>176</v>
      </c>
      <c r="BH176" s="26">
        <f t="shared" si="85"/>
        <v>0</v>
      </c>
      <c r="BI176" s="26">
        <f t="shared" si="86"/>
        <v>0</v>
      </c>
      <c r="BJ176" s="26">
        <f t="shared" si="87"/>
        <v>0</v>
      </c>
      <c r="BK176" s="26"/>
      <c r="BL176" s="26"/>
    </row>
    <row r="177" spans="1:64" ht="15" customHeight="1">
      <c r="A177" s="33" t="s">
        <v>293</v>
      </c>
      <c r="B177" s="6" t="s">
        <v>9</v>
      </c>
      <c r="C177" s="62" t="s">
        <v>369</v>
      </c>
      <c r="D177" s="62"/>
      <c r="E177" s="62"/>
      <c r="F177" s="62"/>
      <c r="G177" s="6" t="s">
        <v>141</v>
      </c>
      <c r="H177" s="26">
        <v>1</v>
      </c>
      <c r="I177" s="26">
        <v>0</v>
      </c>
      <c r="J177" s="26">
        <f t="shared" si="66"/>
        <v>0</v>
      </c>
      <c r="K177" s="26">
        <f t="shared" si="67"/>
        <v>0</v>
      </c>
      <c r="L177" s="26">
        <f t="shared" si="68"/>
        <v>0</v>
      </c>
      <c r="M177" s="2" t="s">
        <v>197</v>
      </c>
      <c r="Z177" s="26">
        <f t="shared" si="69"/>
        <v>0</v>
      </c>
      <c r="AB177" s="26">
        <f t="shared" si="70"/>
        <v>0</v>
      </c>
      <c r="AC177" s="26">
        <f t="shared" si="71"/>
        <v>0</v>
      </c>
      <c r="AD177" s="26">
        <f t="shared" si="72"/>
        <v>0</v>
      </c>
      <c r="AE177" s="26">
        <f t="shared" si="73"/>
        <v>0</v>
      </c>
      <c r="AF177" s="26">
        <f t="shared" si="74"/>
        <v>0</v>
      </c>
      <c r="AG177" s="26">
        <f t="shared" si="75"/>
        <v>0</v>
      </c>
      <c r="AH177" s="26">
        <f t="shared" si="76"/>
        <v>0</v>
      </c>
      <c r="AI177" s="1" t="s">
        <v>356</v>
      </c>
      <c r="AJ177" s="26">
        <f t="shared" si="77"/>
        <v>0</v>
      </c>
      <c r="AK177" s="26">
        <f t="shared" si="78"/>
        <v>0</v>
      </c>
      <c r="AL177" s="26">
        <f t="shared" si="79"/>
        <v>0</v>
      </c>
      <c r="AN177" s="26">
        <v>21</v>
      </c>
      <c r="AO177" s="26">
        <f>I177*0.866081569437274</f>
        <v>0</v>
      </c>
      <c r="AP177" s="26">
        <f>I177*(1-0.866081569437274)</f>
        <v>0</v>
      </c>
      <c r="AQ177" s="28" t="s">
        <v>353</v>
      </c>
      <c r="AV177" s="26">
        <f t="shared" si="80"/>
        <v>0</v>
      </c>
      <c r="AW177" s="26">
        <f t="shared" si="81"/>
        <v>0</v>
      </c>
      <c r="AX177" s="26">
        <f t="shared" si="82"/>
        <v>0</v>
      </c>
      <c r="AY177" s="28" t="s">
        <v>560</v>
      </c>
      <c r="AZ177" s="28" t="s">
        <v>190</v>
      </c>
      <c r="BA177" s="1" t="s">
        <v>397</v>
      </c>
      <c r="BC177" s="26">
        <f t="shared" si="83"/>
        <v>0</v>
      </c>
      <c r="BD177" s="26">
        <f t="shared" si="84"/>
        <v>0</v>
      </c>
      <c r="BE177" s="26">
        <v>0</v>
      </c>
      <c r="BF177" s="26">
        <f>177</f>
        <v>177</v>
      </c>
      <c r="BH177" s="26">
        <f t="shared" si="85"/>
        <v>0</v>
      </c>
      <c r="BI177" s="26">
        <f t="shared" si="86"/>
        <v>0</v>
      </c>
      <c r="BJ177" s="26">
        <f t="shared" si="87"/>
        <v>0</v>
      </c>
      <c r="BK177" s="26"/>
      <c r="BL177" s="26"/>
    </row>
    <row r="178" spans="1:64" ht="15" customHeight="1">
      <c r="A178" s="33" t="s">
        <v>67</v>
      </c>
      <c r="B178" s="6" t="s">
        <v>203</v>
      </c>
      <c r="C178" s="62" t="s">
        <v>300</v>
      </c>
      <c r="D178" s="62"/>
      <c r="E178" s="62"/>
      <c r="F178" s="62"/>
      <c r="G178" s="6" t="s">
        <v>141</v>
      </c>
      <c r="H178" s="26">
        <v>4</v>
      </c>
      <c r="I178" s="26">
        <v>0</v>
      </c>
      <c r="J178" s="26">
        <f t="shared" si="66"/>
        <v>0</v>
      </c>
      <c r="K178" s="26">
        <f t="shared" si="67"/>
        <v>0</v>
      </c>
      <c r="L178" s="26">
        <f t="shared" si="68"/>
        <v>0</v>
      </c>
      <c r="M178" s="2" t="s">
        <v>197</v>
      </c>
      <c r="Z178" s="26">
        <f t="shared" si="69"/>
        <v>0</v>
      </c>
      <c r="AB178" s="26">
        <f t="shared" si="70"/>
        <v>0</v>
      </c>
      <c r="AC178" s="26">
        <f t="shared" si="71"/>
        <v>0</v>
      </c>
      <c r="AD178" s="26">
        <f t="shared" si="72"/>
        <v>0</v>
      </c>
      <c r="AE178" s="26">
        <f t="shared" si="73"/>
        <v>0</v>
      </c>
      <c r="AF178" s="26">
        <f t="shared" si="74"/>
        <v>0</v>
      </c>
      <c r="AG178" s="26">
        <f t="shared" si="75"/>
        <v>0</v>
      </c>
      <c r="AH178" s="26">
        <f t="shared" si="76"/>
        <v>0</v>
      </c>
      <c r="AI178" s="1" t="s">
        <v>356</v>
      </c>
      <c r="AJ178" s="26">
        <f t="shared" si="77"/>
        <v>0</v>
      </c>
      <c r="AK178" s="26">
        <f t="shared" si="78"/>
        <v>0</v>
      </c>
      <c r="AL178" s="26">
        <f t="shared" si="79"/>
        <v>0</v>
      </c>
      <c r="AN178" s="26">
        <v>21</v>
      </c>
      <c r="AO178" s="26">
        <f>I178*0</f>
        <v>0</v>
      </c>
      <c r="AP178" s="26">
        <f>I178*(1-0)</f>
        <v>0</v>
      </c>
      <c r="AQ178" s="28" t="s">
        <v>353</v>
      </c>
      <c r="AV178" s="26">
        <f t="shared" si="80"/>
        <v>0</v>
      </c>
      <c r="AW178" s="26">
        <f t="shared" si="81"/>
        <v>0</v>
      </c>
      <c r="AX178" s="26">
        <f t="shared" si="82"/>
        <v>0</v>
      </c>
      <c r="AY178" s="28" t="s">
        <v>560</v>
      </c>
      <c r="AZ178" s="28" t="s">
        <v>190</v>
      </c>
      <c r="BA178" s="1" t="s">
        <v>397</v>
      </c>
      <c r="BC178" s="26">
        <f t="shared" si="83"/>
        <v>0</v>
      </c>
      <c r="BD178" s="26">
        <f t="shared" si="84"/>
        <v>0</v>
      </c>
      <c r="BE178" s="26">
        <v>0</v>
      </c>
      <c r="BF178" s="26">
        <f>178</f>
        <v>178</v>
      </c>
      <c r="BH178" s="26">
        <f t="shared" si="85"/>
        <v>0</v>
      </c>
      <c r="BI178" s="26">
        <f t="shared" si="86"/>
        <v>0</v>
      </c>
      <c r="BJ178" s="26">
        <f t="shared" si="87"/>
        <v>0</v>
      </c>
      <c r="BK178" s="26"/>
      <c r="BL178" s="26"/>
    </row>
    <row r="179" spans="1:64" ht="15" customHeight="1">
      <c r="A179" s="33" t="s">
        <v>362</v>
      </c>
      <c r="B179" s="6" t="s">
        <v>370</v>
      </c>
      <c r="C179" s="62" t="s">
        <v>385</v>
      </c>
      <c r="D179" s="62"/>
      <c r="E179" s="62"/>
      <c r="F179" s="62"/>
      <c r="G179" s="6" t="s">
        <v>141</v>
      </c>
      <c r="H179" s="26">
        <v>1</v>
      </c>
      <c r="I179" s="26">
        <v>0</v>
      </c>
      <c r="J179" s="26">
        <f t="shared" si="66"/>
        <v>0</v>
      </c>
      <c r="K179" s="26">
        <f t="shared" si="67"/>
        <v>0</v>
      </c>
      <c r="L179" s="26">
        <f t="shared" si="68"/>
        <v>0</v>
      </c>
      <c r="M179" s="2" t="s">
        <v>197</v>
      </c>
      <c r="Z179" s="26">
        <f t="shared" si="69"/>
        <v>0</v>
      </c>
      <c r="AB179" s="26">
        <f t="shared" si="70"/>
        <v>0</v>
      </c>
      <c r="AC179" s="26">
        <f t="shared" si="71"/>
        <v>0</v>
      </c>
      <c r="AD179" s="26">
        <f t="shared" si="72"/>
        <v>0</v>
      </c>
      <c r="AE179" s="26">
        <f t="shared" si="73"/>
        <v>0</v>
      </c>
      <c r="AF179" s="26">
        <f t="shared" si="74"/>
        <v>0</v>
      </c>
      <c r="AG179" s="26">
        <f t="shared" si="75"/>
        <v>0</v>
      </c>
      <c r="AH179" s="26">
        <f t="shared" si="76"/>
        <v>0</v>
      </c>
      <c r="AI179" s="1" t="s">
        <v>356</v>
      </c>
      <c r="AJ179" s="26">
        <f t="shared" si="77"/>
        <v>0</v>
      </c>
      <c r="AK179" s="26">
        <f t="shared" si="78"/>
        <v>0</v>
      </c>
      <c r="AL179" s="26">
        <f t="shared" si="79"/>
        <v>0</v>
      </c>
      <c r="AN179" s="26">
        <v>21</v>
      </c>
      <c r="AO179" s="26">
        <f>I179*0</f>
        <v>0</v>
      </c>
      <c r="AP179" s="26">
        <f>I179*(1-0)</f>
        <v>0</v>
      </c>
      <c r="AQ179" s="28" t="s">
        <v>353</v>
      </c>
      <c r="AV179" s="26">
        <f t="shared" si="80"/>
        <v>0</v>
      </c>
      <c r="AW179" s="26">
        <f t="shared" si="81"/>
        <v>0</v>
      </c>
      <c r="AX179" s="26">
        <f t="shared" si="82"/>
        <v>0</v>
      </c>
      <c r="AY179" s="28" t="s">
        <v>560</v>
      </c>
      <c r="AZ179" s="28" t="s">
        <v>190</v>
      </c>
      <c r="BA179" s="1" t="s">
        <v>397</v>
      </c>
      <c r="BC179" s="26">
        <f t="shared" si="83"/>
        <v>0</v>
      </c>
      <c r="BD179" s="26">
        <f t="shared" si="84"/>
        <v>0</v>
      </c>
      <c r="BE179" s="26">
        <v>0</v>
      </c>
      <c r="BF179" s="26">
        <f>179</f>
        <v>179</v>
      </c>
      <c r="BH179" s="26">
        <f t="shared" si="85"/>
        <v>0</v>
      </c>
      <c r="BI179" s="26">
        <f t="shared" si="86"/>
        <v>0</v>
      </c>
      <c r="BJ179" s="26">
        <f t="shared" si="87"/>
        <v>0</v>
      </c>
      <c r="BK179" s="26"/>
      <c r="BL179" s="26"/>
    </row>
    <row r="180" spans="1:64" ht="15" customHeight="1">
      <c r="A180" s="33" t="s">
        <v>249</v>
      </c>
      <c r="B180" s="6" t="s">
        <v>212</v>
      </c>
      <c r="C180" s="62" t="s">
        <v>142</v>
      </c>
      <c r="D180" s="62"/>
      <c r="E180" s="62"/>
      <c r="F180" s="62"/>
      <c r="G180" s="6" t="s">
        <v>141</v>
      </c>
      <c r="H180" s="26">
        <v>2</v>
      </c>
      <c r="I180" s="26">
        <v>0</v>
      </c>
      <c r="J180" s="26">
        <f t="shared" si="66"/>
        <v>0</v>
      </c>
      <c r="K180" s="26">
        <f t="shared" si="67"/>
        <v>0</v>
      </c>
      <c r="L180" s="26">
        <f t="shared" si="68"/>
        <v>0</v>
      </c>
      <c r="M180" s="2" t="s">
        <v>197</v>
      </c>
      <c r="Z180" s="26">
        <f t="shared" si="69"/>
        <v>0</v>
      </c>
      <c r="AB180" s="26">
        <f t="shared" si="70"/>
        <v>0</v>
      </c>
      <c r="AC180" s="26">
        <f t="shared" si="71"/>
        <v>0</v>
      </c>
      <c r="AD180" s="26">
        <f t="shared" si="72"/>
        <v>0</v>
      </c>
      <c r="AE180" s="26">
        <f t="shared" si="73"/>
        <v>0</v>
      </c>
      <c r="AF180" s="26">
        <f t="shared" si="74"/>
        <v>0</v>
      </c>
      <c r="AG180" s="26">
        <f t="shared" si="75"/>
        <v>0</v>
      </c>
      <c r="AH180" s="26">
        <f t="shared" si="76"/>
        <v>0</v>
      </c>
      <c r="AI180" s="1" t="s">
        <v>356</v>
      </c>
      <c r="AJ180" s="26">
        <f t="shared" si="77"/>
        <v>0</v>
      </c>
      <c r="AK180" s="26">
        <f t="shared" si="78"/>
        <v>0</v>
      </c>
      <c r="AL180" s="26">
        <f t="shared" si="79"/>
        <v>0</v>
      </c>
      <c r="AN180" s="26">
        <v>21</v>
      </c>
      <c r="AO180" s="26">
        <f>I180*0</f>
        <v>0</v>
      </c>
      <c r="AP180" s="26">
        <f>I180*(1-0)</f>
        <v>0</v>
      </c>
      <c r="AQ180" s="28" t="s">
        <v>353</v>
      </c>
      <c r="AV180" s="26">
        <f t="shared" si="80"/>
        <v>0</v>
      </c>
      <c r="AW180" s="26">
        <f t="shared" si="81"/>
        <v>0</v>
      </c>
      <c r="AX180" s="26">
        <f t="shared" si="82"/>
        <v>0</v>
      </c>
      <c r="AY180" s="28" t="s">
        <v>560</v>
      </c>
      <c r="AZ180" s="28" t="s">
        <v>190</v>
      </c>
      <c r="BA180" s="1" t="s">
        <v>397</v>
      </c>
      <c r="BC180" s="26">
        <f t="shared" si="83"/>
        <v>0</v>
      </c>
      <c r="BD180" s="26">
        <f t="shared" si="84"/>
        <v>0</v>
      </c>
      <c r="BE180" s="26">
        <v>0</v>
      </c>
      <c r="BF180" s="26">
        <f>180</f>
        <v>180</v>
      </c>
      <c r="BH180" s="26">
        <f t="shared" si="85"/>
        <v>0</v>
      </c>
      <c r="BI180" s="26">
        <f t="shared" si="86"/>
        <v>0</v>
      </c>
      <c r="BJ180" s="26">
        <f t="shared" si="87"/>
        <v>0</v>
      </c>
      <c r="BK180" s="26"/>
      <c r="BL180" s="26"/>
    </row>
    <row r="181" spans="1:64" ht="15" customHeight="1">
      <c r="A181" s="33" t="s">
        <v>431</v>
      </c>
      <c r="B181" s="6" t="s">
        <v>374</v>
      </c>
      <c r="C181" s="62" t="s">
        <v>584</v>
      </c>
      <c r="D181" s="62"/>
      <c r="E181" s="62"/>
      <c r="F181" s="62"/>
      <c r="G181" s="6" t="s">
        <v>141</v>
      </c>
      <c r="H181" s="26">
        <v>1</v>
      </c>
      <c r="I181" s="26">
        <v>0</v>
      </c>
      <c r="J181" s="26">
        <f t="shared" si="66"/>
        <v>0</v>
      </c>
      <c r="K181" s="26">
        <f t="shared" si="67"/>
        <v>0</v>
      </c>
      <c r="L181" s="26">
        <f t="shared" si="68"/>
        <v>0</v>
      </c>
      <c r="M181" s="2" t="s">
        <v>197</v>
      </c>
      <c r="Z181" s="26">
        <f t="shared" si="69"/>
        <v>0</v>
      </c>
      <c r="AB181" s="26">
        <f t="shared" si="70"/>
        <v>0</v>
      </c>
      <c r="AC181" s="26">
        <f t="shared" si="71"/>
        <v>0</v>
      </c>
      <c r="AD181" s="26">
        <f t="shared" si="72"/>
        <v>0</v>
      </c>
      <c r="AE181" s="26">
        <f t="shared" si="73"/>
        <v>0</v>
      </c>
      <c r="AF181" s="26">
        <f t="shared" si="74"/>
        <v>0</v>
      </c>
      <c r="AG181" s="26">
        <f t="shared" si="75"/>
        <v>0</v>
      </c>
      <c r="AH181" s="26">
        <f t="shared" si="76"/>
        <v>0</v>
      </c>
      <c r="AI181" s="1" t="s">
        <v>356</v>
      </c>
      <c r="AJ181" s="26">
        <f t="shared" si="77"/>
        <v>0</v>
      </c>
      <c r="AK181" s="26">
        <f t="shared" si="78"/>
        <v>0</v>
      </c>
      <c r="AL181" s="26">
        <f t="shared" si="79"/>
        <v>0</v>
      </c>
      <c r="AN181" s="26">
        <v>21</v>
      </c>
      <c r="AO181" s="26">
        <f>I181*0</f>
        <v>0</v>
      </c>
      <c r="AP181" s="26">
        <f>I181*(1-0)</f>
        <v>0</v>
      </c>
      <c r="AQ181" s="28" t="s">
        <v>353</v>
      </c>
      <c r="AV181" s="26">
        <f t="shared" si="80"/>
        <v>0</v>
      </c>
      <c r="AW181" s="26">
        <f t="shared" si="81"/>
        <v>0</v>
      </c>
      <c r="AX181" s="26">
        <f t="shared" si="82"/>
        <v>0</v>
      </c>
      <c r="AY181" s="28" t="s">
        <v>560</v>
      </c>
      <c r="AZ181" s="28" t="s">
        <v>190</v>
      </c>
      <c r="BA181" s="1" t="s">
        <v>397</v>
      </c>
      <c r="BC181" s="26">
        <f t="shared" si="83"/>
        <v>0</v>
      </c>
      <c r="BD181" s="26">
        <f t="shared" si="84"/>
        <v>0</v>
      </c>
      <c r="BE181" s="26">
        <v>0</v>
      </c>
      <c r="BF181" s="26">
        <f>181</f>
        <v>181</v>
      </c>
      <c r="BH181" s="26">
        <f t="shared" si="85"/>
        <v>0</v>
      </c>
      <c r="BI181" s="26">
        <f t="shared" si="86"/>
        <v>0</v>
      </c>
      <c r="BJ181" s="26">
        <f t="shared" si="87"/>
        <v>0</v>
      </c>
      <c r="BK181" s="26"/>
      <c r="BL181" s="26"/>
    </row>
    <row r="182" spans="1:64" ht="15" customHeight="1">
      <c r="A182" s="33" t="s">
        <v>488</v>
      </c>
      <c r="B182" s="6" t="s">
        <v>404</v>
      </c>
      <c r="C182" s="62" t="s">
        <v>271</v>
      </c>
      <c r="D182" s="62"/>
      <c r="E182" s="62"/>
      <c r="F182" s="62"/>
      <c r="G182" s="6" t="s">
        <v>141</v>
      </c>
      <c r="H182" s="26">
        <v>2</v>
      </c>
      <c r="I182" s="26">
        <v>0</v>
      </c>
      <c r="J182" s="26">
        <f t="shared" si="66"/>
        <v>0</v>
      </c>
      <c r="K182" s="26">
        <f t="shared" si="67"/>
        <v>0</v>
      </c>
      <c r="L182" s="26">
        <f t="shared" si="68"/>
        <v>0</v>
      </c>
      <c r="M182" s="2" t="s">
        <v>197</v>
      </c>
      <c r="Z182" s="26">
        <f t="shared" si="69"/>
        <v>0</v>
      </c>
      <c r="AB182" s="26">
        <f t="shared" si="70"/>
        <v>0</v>
      </c>
      <c r="AC182" s="26">
        <f t="shared" si="71"/>
        <v>0</v>
      </c>
      <c r="AD182" s="26">
        <f t="shared" si="72"/>
        <v>0</v>
      </c>
      <c r="AE182" s="26">
        <f t="shared" si="73"/>
        <v>0</v>
      </c>
      <c r="AF182" s="26">
        <f t="shared" si="74"/>
        <v>0</v>
      </c>
      <c r="AG182" s="26">
        <f t="shared" si="75"/>
        <v>0</v>
      </c>
      <c r="AH182" s="26">
        <f t="shared" si="76"/>
        <v>0</v>
      </c>
      <c r="AI182" s="1" t="s">
        <v>356</v>
      </c>
      <c r="AJ182" s="26">
        <f t="shared" si="77"/>
        <v>0</v>
      </c>
      <c r="AK182" s="26">
        <f t="shared" si="78"/>
        <v>0</v>
      </c>
      <c r="AL182" s="26">
        <f t="shared" si="79"/>
        <v>0</v>
      </c>
      <c r="AN182" s="26">
        <v>21</v>
      </c>
      <c r="AO182" s="26">
        <f>I182*0</f>
        <v>0</v>
      </c>
      <c r="AP182" s="26">
        <f>I182*(1-0)</f>
        <v>0</v>
      </c>
      <c r="AQ182" s="28" t="s">
        <v>353</v>
      </c>
      <c r="AV182" s="26">
        <f t="shared" si="80"/>
        <v>0</v>
      </c>
      <c r="AW182" s="26">
        <f t="shared" si="81"/>
        <v>0</v>
      </c>
      <c r="AX182" s="26">
        <f t="shared" si="82"/>
        <v>0</v>
      </c>
      <c r="AY182" s="28" t="s">
        <v>560</v>
      </c>
      <c r="AZ182" s="28" t="s">
        <v>190</v>
      </c>
      <c r="BA182" s="1" t="s">
        <v>397</v>
      </c>
      <c r="BC182" s="26">
        <f t="shared" si="83"/>
        <v>0</v>
      </c>
      <c r="BD182" s="26">
        <f t="shared" si="84"/>
        <v>0</v>
      </c>
      <c r="BE182" s="26">
        <v>0</v>
      </c>
      <c r="BF182" s="26">
        <f>182</f>
        <v>182</v>
      </c>
      <c r="BH182" s="26">
        <f t="shared" si="85"/>
        <v>0</v>
      </c>
      <c r="BI182" s="26">
        <f t="shared" si="86"/>
        <v>0</v>
      </c>
      <c r="BJ182" s="26">
        <f t="shared" si="87"/>
        <v>0</v>
      </c>
      <c r="BK182" s="26"/>
      <c r="BL182" s="26"/>
    </row>
    <row r="183" spans="1:64" ht="15" customHeight="1">
      <c r="A183" s="33" t="s">
        <v>464</v>
      </c>
      <c r="B183" s="6" t="s">
        <v>7</v>
      </c>
      <c r="C183" s="62" t="s">
        <v>479</v>
      </c>
      <c r="D183" s="62"/>
      <c r="E183" s="62"/>
      <c r="F183" s="62"/>
      <c r="G183" s="6" t="s">
        <v>141</v>
      </c>
      <c r="H183" s="26">
        <v>2</v>
      </c>
      <c r="I183" s="26">
        <v>0</v>
      </c>
      <c r="J183" s="26">
        <f t="shared" si="66"/>
        <v>0</v>
      </c>
      <c r="K183" s="26">
        <f t="shared" si="67"/>
        <v>0</v>
      </c>
      <c r="L183" s="26">
        <f t="shared" si="68"/>
        <v>0</v>
      </c>
      <c r="M183" s="2" t="s">
        <v>197</v>
      </c>
      <c r="Z183" s="26">
        <f t="shared" si="69"/>
        <v>0</v>
      </c>
      <c r="AB183" s="26">
        <f t="shared" si="70"/>
        <v>0</v>
      </c>
      <c r="AC183" s="26">
        <f t="shared" si="71"/>
        <v>0</v>
      </c>
      <c r="AD183" s="26">
        <f t="shared" si="72"/>
        <v>0</v>
      </c>
      <c r="AE183" s="26">
        <f t="shared" si="73"/>
        <v>0</v>
      </c>
      <c r="AF183" s="26">
        <f t="shared" si="74"/>
        <v>0</v>
      </c>
      <c r="AG183" s="26">
        <f t="shared" si="75"/>
        <v>0</v>
      </c>
      <c r="AH183" s="26">
        <f t="shared" si="76"/>
        <v>0</v>
      </c>
      <c r="AI183" s="1" t="s">
        <v>356</v>
      </c>
      <c r="AJ183" s="26">
        <f t="shared" si="77"/>
        <v>0</v>
      </c>
      <c r="AK183" s="26">
        <f t="shared" si="78"/>
        <v>0</v>
      </c>
      <c r="AL183" s="26">
        <f t="shared" si="79"/>
        <v>0</v>
      </c>
      <c r="AN183" s="26">
        <v>21</v>
      </c>
      <c r="AO183" s="26">
        <f>I183*0.757802197802198</f>
        <v>0</v>
      </c>
      <c r="AP183" s="26">
        <f>I183*(1-0.757802197802198)</f>
        <v>0</v>
      </c>
      <c r="AQ183" s="28" t="s">
        <v>353</v>
      </c>
      <c r="AV183" s="26">
        <f t="shared" si="80"/>
        <v>0</v>
      </c>
      <c r="AW183" s="26">
        <f t="shared" si="81"/>
        <v>0</v>
      </c>
      <c r="AX183" s="26">
        <f t="shared" si="82"/>
        <v>0</v>
      </c>
      <c r="AY183" s="28" t="s">
        <v>560</v>
      </c>
      <c r="AZ183" s="28" t="s">
        <v>190</v>
      </c>
      <c r="BA183" s="1" t="s">
        <v>397</v>
      </c>
      <c r="BC183" s="26">
        <f t="shared" si="83"/>
        <v>0</v>
      </c>
      <c r="BD183" s="26">
        <f t="shared" si="84"/>
        <v>0</v>
      </c>
      <c r="BE183" s="26">
        <v>0</v>
      </c>
      <c r="BF183" s="26">
        <f>183</f>
        <v>183</v>
      </c>
      <c r="BH183" s="26">
        <f t="shared" si="85"/>
        <v>0</v>
      </c>
      <c r="BI183" s="26">
        <f t="shared" si="86"/>
        <v>0</v>
      </c>
      <c r="BJ183" s="26">
        <f t="shared" si="87"/>
        <v>0</v>
      </c>
      <c r="BK183" s="26"/>
      <c r="BL183" s="26"/>
    </row>
    <row r="184" spans="1:64" ht="15" customHeight="1">
      <c r="A184" s="33" t="s">
        <v>11</v>
      </c>
      <c r="B184" s="6" t="s">
        <v>358</v>
      </c>
      <c r="C184" s="62" t="s">
        <v>105</v>
      </c>
      <c r="D184" s="62"/>
      <c r="E184" s="62"/>
      <c r="F184" s="62"/>
      <c r="G184" s="6" t="s">
        <v>141</v>
      </c>
      <c r="H184" s="26">
        <v>1</v>
      </c>
      <c r="I184" s="26">
        <v>0</v>
      </c>
      <c r="J184" s="26">
        <f t="shared" si="66"/>
        <v>0</v>
      </c>
      <c r="K184" s="26">
        <f t="shared" si="67"/>
        <v>0</v>
      </c>
      <c r="L184" s="26">
        <f t="shared" si="68"/>
        <v>0</v>
      </c>
      <c r="M184" s="2" t="s">
        <v>197</v>
      </c>
      <c r="Z184" s="26">
        <f t="shared" si="69"/>
        <v>0</v>
      </c>
      <c r="AB184" s="26">
        <f t="shared" si="70"/>
        <v>0</v>
      </c>
      <c r="AC184" s="26">
        <f t="shared" si="71"/>
        <v>0</v>
      </c>
      <c r="AD184" s="26">
        <f t="shared" si="72"/>
        <v>0</v>
      </c>
      <c r="AE184" s="26">
        <f t="shared" si="73"/>
        <v>0</v>
      </c>
      <c r="AF184" s="26">
        <f t="shared" si="74"/>
        <v>0</v>
      </c>
      <c r="AG184" s="26">
        <f t="shared" si="75"/>
        <v>0</v>
      </c>
      <c r="AH184" s="26">
        <f t="shared" si="76"/>
        <v>0</v>
      </c>
      <c r="AI184" s="1" t="s">
        <v>356</v>
      </c>
      <c r="AJ184" s="26">
        <f t="shared" si="77"/>
        <v>0</v>
      </c>
      <c r="AK184" s="26">
        <f t="shared" si="78"/>
        <v>0</v>
      </c>
      <c r="AL184" s="26">
        <f t="shared" si="79"/>
        <v>0</v>
      </c>
      <c r="AN184" s="26">
        <v>21</v>
      </c>
      <c r="AO184" s="26">
        <f>I184*0.747881059610059</f>
        <v>0</v>
      </c>
      <c r="AP184" s="26">
        <f>I184*(1-0.747881059610059)</f>
        <v>0</v>
      </c>
      <c r="AQ184" s="28" t="s">
        <v>353</v>
      </c>
      <c r="AV184" s="26">
        <f t="shared" si="80"/>
        <v>0</v>
      </c>
      <c r="AW184" s="26">
        <f t="shared" si="81"/>
        <v>0</v>
      </c>
      <c r="AX184" s="26">
        <f t="shared" si="82"/>
        <v>0</v>
      </c>
      <c r="AY184" s="28" t="s">
        <v>560</v>
      </c>
      <c r="AZ184" s="28" t="s">
        <v>190</v>
      </c>
      <c r="BA184" s="1" t="s">
        <v>397</v>
      </c>
      <c r="BC184" s="26">
        <f t="shared" si="83"/>
        <v>0</v>
      </c>
      <c r="BD184" s="26">
        <f t="shared" si="84"/>
        <v>0</v>
      </c>
      <c r="BE184" s="26">
        <v>0</v>
      </c>
      <c r="BF184" s="26">
        <f>184</f>
        <v>184</v>
      </c>
      <c r="BH184" s="26">
        <f t="shared" si="85"/>
        <v>0</v>
      </c>
      <c r="BI184" s="26">
        <f t="shared" si="86"/>
        <v>0</v>
      </c>
      <c r="BJ184" s="26">
        <f t="shared" si="87"/>
        <v>0</v>
      </c>
      <c r="BK184" s="26"/>
      <c r="BL184" s="26"/>
    </row>
    <row r="185" spans="1:64" ht="15" customHeight="1">
      <c r="A185" s="33" t="s">
        <v>201</v>
      </c>
      <c r="B185" s="6" t="s">
        <v>562</v>
      </c>
      <c r="C185" s="62" t="s">
        <v>116</v>
      </c>
      <c r="D185" s="62"/>
      <c r="E185" s="62"/>
      <c r="F185" s="62"/>
      <c r="G185" s="6" t="s">
        <v>141</v>
      </c>
      <c r="H185" s="26">
        <v>1</v>
      </c>
      <c r="I185" s="26">
        <v>0</v>
      </c>
      <c r="J185" s="26">
        <f t="shared" si="66"/>
        <v>0</v>
      </c>
      <c r="K185" s="26">
        <f t="shared" si="67"/>
        <v>0</v>
      </c>
      <c r="L185" s="26">
        <f t="shared" si="68"/>
        <v>0</v>
      </c>
      <c r="M185" s="2" t="s">
        <v>197</v>
      </c>
      <c r="Z185" s="26">
        <f t="shared" si="69"/>
        <v>0</v>
      </c>
      <c r="AB185" s="26">
        <f t="shared" si="70"/>
        <v>0</v>
      </c>
      <c r="AC185" s="26">
        <f t="shared" si="71"/>
        <v>0</v>
      </c>
      <c r="AD185" s="26">
        <f t="shared" si="72"/>
        <v>0</v>
      </c>
      <c r="AE185" s="26">
        <f t="shared" si="73"/>
        <v>0</v>
      </c>
      <c r="AF185" s="26">
        <f t="shared" si="74"/>
        <v>0</v>
      </c>
      <c r="AG185" s="26">
        <f t="shared" si="75"/>
        <v>0</v>
      </c>
      <c r="AH185" s="26">
        <f t="shared" si="76"/>
        <v>0</v>
      </c>
      <c r="AI185" s="1" t="s">
        <v>356</v>
      </c>
      <c r="AJ185" s="26">
        <f t="shared" si="77"/>
        <v>0</v>
      </c>
      <c r="AK185" s="26">
        <f t="shared" si="78"/>
        <v>0</v>
      </c>
      <c r="AL185" s="26">
        <f t="shared" si="79"/>
        <v>0</v>
      </c>
      <c r="AN185" s="26">
        <v>21</v>
      </c>
      <c r="AO185" s="26">
        <f>I185*0.417400881057269</f>
        <v>0</v>
      </c>
      <c r="AP185" s="26">
        <f>I185*(1-0.417400881057269)</f>
        <v>0</v>
      </c>
      <c r="AQ185" s="28" t="s">
        <v>353</v>
      </c>
      <c r="AV185" s="26">
        <f t="shared" si="80"/>
        <v>0</v>
      </c>
      <c r="AW185" s="26">
        <f t="shared" si="81"/>
        <v>0</v>
      </c>
      <c r="AX185" s="26">
        <f t="shared" si="82"/>
        <v>0</v>
      </c>
      <c r="AY185" s="28" t="s">
        <v>560</v>
      </c>
      <c r="AZ185" s="28" t="s">
        <v>190</v>
      </c>
      <c r="BA185" s="1" t="s">
        <v>397</v>
      </c>
      <c r="BC185" s="26">
        <f t="shared" si="83"/>
        <v>0</v>
      </c>
      <c r="BD185" s="26">
        <f t="shared" si="84"/>
        <v>0</v>
      </c>
      <c r="BE185" s="26">
        <v>0</v>
      </c>
      <c r="BF185" s="26">
        <f>185</f>
        <v>185</v>
      </c>
      <c r="BH185" s="26">
        <f t="shared" si="85"/>
        <v>0</v>
      </c>
      <c r="BI185" s="26">
        <f t="shared" si="86"/>
        <v>0</v>
      </c>
      <c r="BJ185" s="26">
        <f t="shared" si="87"/>
        <v>0</v>
      </c>
      <c r="BK185" s="26"/>
      <c r="BL185" s="26"/>
    </row>
    <row r="186" spans="1:64" ht="15" customHeight="1">
      <c r="A186" s="33" t="s">
        <v>81</v>
      </c>
      <c r="B186" s="6" t="s">
        <v>511</v>
      </c>
      <c r="C186" s="62" t="s">
        <v>451</v>
      </c>
      <c r="D186" s="62"/>
      <c r="E186" s="62"/>
      <c r="F186" s="62"/>
      <c r="G186" s="6" t="s">
        <v>141</v>
      </c>
      <c r="H186" s="26">
        <v>6</v>
      </c>
      <c r="I186" s="26">
        <v>0</v>
      </c>
      <c r="J186" s="26">
        <f t="shared" si="66"/>
        <v>0</v>
      </c>
      <c r="K186" s="26">
        <f t="shared" si="67"/>
        <v>0</v>
      </c>
      <c r="L186" s="26">
        <f t="shared" si="68"/>
        <v>0</v>
      </c>
      <c r="M186" s="2" t="s">
        <v>197</v>
      </c>
      <c r="Z186" s="26">
        <f t="shared" si="69"/>
        <v>0</v>
      </c>
      <c r="AB186" s="26">
        <f t="shared" si="70"/>
        <v>0</v>
      </c>
      <c r="AC186" s="26">
        <f t="shared" si="71"/>
        <v>0</v>
      </c>
      <c r="AD186" s="26">
        <f t="shared" si="72"/>
        <v>0</v>
      </c>
      <c r="AE186" s="26">
        <f t="shared" si="73"/>
        <v>0</v>
      </c>
      <c r="AF186" s="26">
        <f t="shared" si="74"/>
        <v>0</v>
      </c>
      <c r="AG186" s="26">
        <f t="shared" si="75"/>
        <v>0</v>
      </c>
      <c r="AH186" s="26">
        <f t="shared" si="76"/>
        <v>0</v>
      </c>
      <c r="AI186" s="1" t="s">
        <v>356</v>
      </c>
      <c r="AJ186" s="26">
        <f t="shared" si="77"/>
        <v>0</v>
      </c>
      <c r="AK186" s="26">
        <f t="shared" si="78"/>
        <v>0</v>
      </c>
      <c r="AL186" s="26">
        <f t="shared" si="79"/>
        <v>0</v>
      </c>
      <c r="AN186" s="26">
        <v>21</v>
      </c>
      <c r="AO186" s="26">
        <f>I186*0.484805914972274</f>
        <v>0</v>
      </c>
      <c r="AP186" s="26">
        <f>I186*(1-0.484805914972274)</f>
        <v>0</v>
      </c>
      <c r="AQ186" s="28" t="s">
        <v>353</v>
      </c>
      <c r="AV186" s="26">
        <f t="shared" si="80"/>
        <v>0</v>
      </c>
      <c r="AW186" s="26">
        <f t="shared" si="81"/>
        <v>0</v>
      </c>
      <c r="AX186" s="26">
        <f t="shared" si="82"/>
        <v>0</v>
      </c>
      <c r="AY186" s="28" t="s">
        <v>560</v>
      </c>
      <c r="AZ186" s="28" t="s">
        <v>190</v>
      </c>
      <c r="BA186" s="1" t="s">
        <v>397</v>
      </c>
      <c r="BC186" s="26">
        <f t="shared" si="83"/>
        <v>0</v>
      </c>
      <c r="BD186" s="26">
        <f t="shared" si="84"/>
        <v>0</v>
      </c>
      <c r="BE186" s="26">
        <v>0</v>
      </c>
      <c r="BF186" s="26">
        <f>186</f>
        <v>186</v>
      </c>
      <c r="BH186" s="26">
        <f t="shared" si="85"/>
        <v>0</v>
      </c>
      <c r="BI186" s="26">
        <f t="shared" si="86"/>
        <v>0</v>
      </c>
      <c r="BJ186" s="26">
        <f t="shared" si="87"/>
        <v>0</v>
      </c>
      <c r="BK186" s="26"/>
      <c r="BL186" s="26"/>
    </row>
    <row r="187" spans="1:64" ht="15" customHeight="1">
      <c r="A187" s="33" t="s">
        <v>589</v>
      </c>
      <c r="B187" s="6" t="s">
        <v>254</v>
      </c>
      <c r="C187" s="62" t="s">
        <v>294</v>
      </c>
      <c r="D187" s="62"/>
      <c r="E187" s="62"/>
      <c r="F187" s="62"/>
      <c r="G187" s="6" t="s">
        <v>141</v>
      </c>
      <c r="H187" s="26">
        <v>4</v>
      </c>
      <c r="I187" s="26">
        <v>0</v>
      </c>
      <c r="J187" s="26">
        <f t="shared" si="66"/>
        <v>0</v>
      </c>
      <c r="K187" s="26">
        <f t="shared" si="67"/>
        <v>0</v>
      </c>
      <c r="L187" s="26">
        <f t="shared" si="68"/>
        <v>0</v>
      </c>
      <c r="M187" s="2" t="s">
        <v>197</v>
      </c>
      <c r="Z187" s="26">
        <f t="shared" si="69"/>
        <v>0</v>
      </c>
      <c r="AB187" s="26">
        <f t="shared" si="70"/>
        <v>0</v>
      </c>
      <c r="AC187" s="26">
        <f t="shared" si="71"/>
        <v>0</v>
      </c>
      <c r="AD187" s="26">
        <f t="shared" si="72"/>
        <v>0</v>
      </c>
      <c r="AE187" s="26">
        <f t="shared" si="73"/>
        <v>0</v>
      </c>
      <c r="AF187" s="26">
        <f t="shared" si="74"/>
        <v>0</v>
      </c>
      <c r="AG187" s="26">
        <f t="shared" si="75"/>
        <v>0</v>
      </c>
      <c r="AH187" s="26">
        <f t="shared" si="76"/>
        <v>0</v>
      </c>
      <c r="AI187" s="1" t="s">
        <v>356</v>
      </c>
      <c r="AJ187" s="26">
        <f t="shared" si="77"/>
        <v>0</v>
      </c>
      <c r="AK187" s="26">
        <f t="shared" si="78"/>
        <v>0</v>
      </c>
      <c r="AL187" s="26">
        <f t="shared" si="79"/>
        <v>0</v>
      </c>
      <c r="AN187" s="26">
        <v>21</v>
      </c>
      <c r="AO187" s="26">
        <f>I187*0</f>
        <v>0</v>
      </c>
      <c r="AP187" s="26">
        <f>I187*(1-0)</f>
        <v>0</v>
      </c>
      <c r="AQ187" s="28" t="s">
        <v>353</v>
      </c>
      <c r="AV187" s="26">
        <f t="shared" si="80"/>
        <v>0</v>
      </c>
      <c r="AW187" s="26">
        <f t="shared" si="81"/>
        <v>0</v>
      </c>
      <c r="AX187" s="26">
        <f t="shared" si="82"/>
        <v>0</v>
      </c>
      <c r="AY187" s="28" t="s">
        <v>560</v>
      </c>
      <c r="AZ187" s="28" t="s">
        <v>190</v>
      </c>
      <c r="BA187" s="1" t="s">
        <v>397</v>
      </c>
      <c r="BC187" s="26">
        <f t="shared" si="83"/>
        <v>0</v>
      </c>
      <c r="BD187" s="26">
        <f t="shared" si="84"/>
        <v>0</v>
      </c>
      <c r="BE187" s="26">
        <v>0</v>
      </c>
      <c r="BF187" s="26">
        <f>187</f>
        <v>187</v>
      </c>
      <c r="BH187" s="26">
        <f t="shared" si="85"/>
        <v>0</v>
      </c>
      <c r="BI187" s="26">
        <f t="shared" si="86"/>
        <v>0</v>
      </c>
      <c r="BJ187" s="26">
        <f t="shared" si="87"/>
        <v>0</v>
      </c>
      <c r="BK187" s="26"/>
      <c r="BL187" s="26"/>
    </row>
    <row r="188" spans="1:64" ht="15" customHeight="1">
      <c r="A188" s="33" t="s">
        <v>250</v>
      </c>
      <c r="B188" s="6" t="s">
        <v>494</v>
      </c>
      <c r="C188" s="62" t="s">
        <v>283</v>
      </c>
      <c r="D188" s="62"/>
      <c r="E188" s="62"/>
      <c r="F188" s="62"/>
      <c r="G188" s="6" t="s">
        <v>141</v>
      </c>
      <c r="H188" s="26">
        <v>2</v>
      </c>
      <c r="I188" s="26">
        <v>0</v>
      </c>
      <c r="J188" s="26">
        <f t="shared" si="66"/>
        <v>0</v>
      </c>
      <c r="K188" s="26">
        <f t="shared" si="67"/>
        <v>0</v>
      </c>
      <c r="L188" s="26">
        <f t="shared" si="68"/>
        <v>0</v>
      </c>
      <c r="M188" s="2" t="s">
        <v>197</v>
      </c>
      <c r="Z188" s="26">
        <f t="shared" si="69"/>
        <v>0</v>
      </c>
      <c r="AB188" s="26">
        <f t="shared" si="70"/>
        <v>0</v>
      </c>
      <c r="AC188" s="26">
        <f t="shared" si="71"/>
        <v>0</v>
      </c>
      <c r="AD188" s="26">
        <f t="shared" si="72"/>
        <v>0</v>
      </c>
      <c r="AE188" s="26">
        <f t="shared" si="73"/>
        <v>0</v>
      </c>
      <c r="AF188" s="26">
        <f t="shared" si="74"/>
        <v>0</v>
      </c>
      <c r="AG188" s="26">
        <f t="shared" si="75"/>
        <v>0</v>
      </c>
      <c r="AH188" s="26">
        <f t="shared" si="76"/>
        <v>0</v>
      </c>
      <c r="AI188" s="1" t="s">
        <v>356</v>
      </c>
      <c r="AJ188" s="26">
        <f t="shared" si="77"/>
        <v>0</v>
      </c>
      <c r="AK188" s="26">
        <f t="shared" si="78"/>
        <v>0</v>
      </c>
      <c r="AL188" s="26">
        <f t="shared" si="79"/>
        <v>0</v>
      </c>
      <c r="AN188" s="26">
        <v>21</v>
      </c>
      <c r="AO188" s="26">
        <f>I188*0</f>
        <v>0</v>
      </c>
      <c r="AP188" s="26">
        <f>I188*(1-0)</f>
        <v>0</v>
      </c>
      <c r="AQ188" s="28" t="s">
        <v>353</v>
      </c>
      <c r="AV188" s="26">
        <f t="shared" si="80"/>
        <v>0</v>
      </c>
      <c r="AW188" s="26">
        <f t="shared" si="81"/>
        <v>0</v>
      </c>
      <c r="AX188" s="26">
        <f t="shared" si="82"/>
        <v>0</v>
      </c>
      <c r="AY188" s="28" t="s">
        <v>560</v>
      </c>
      <c r="AZ188" s="28" t="s">
        <v>190</v>
      </c>
      <c r="BA188" s="1" t="s">
        <v>397</v>
      </c>
      <c r="BC188" s="26">
        <f t="shared" si="83"/>
        <v>0</v>
      </c>
      <c r="BD188" s="26">
        <f t="shared" si="84"/>
        <v>0</v>
      </c>
      <c r="BE188" s="26">
        <v>0</v>
      </c>
      <c r="BF188" s="26">
        <f>188</f>
        <v>188</v>
      </c>
      <c r="BH188" s="26">
        <f t="shared" si="85"/>
        <v>0</v>
      </c>
      <c r="BI188" s="26">
        <f t="shared" si="86"/>
        <v>0</v>
      </c>
      <c r="BJ188" s="26">
        <f t="shared" si="87"/>
        <v>0</v>
      </c>
      <c r="BK188" s="26"/>
      <c r="BL188" s="26"/>
    </row>
    <row r="189" spans="1:64" ht="15" customHeight="1">
      <c r="A189" s="33" t="s">
        <v>432</v>
      </c>
      <c r="B189" s="6" t="s">
        <v>536</v>
      </c>
      <c r="C189" s="62" t="s">
        <v>375</v>
      </c>
      <c r="D189" s="62"/>
      <c r="E189" s="62"/>
      <c r="F189" s="62"/>
      <c r="G189" s="6" t="s">
        <v>141</v>
      </c>
      <c r="H189" s="26">
        <v>4</v>
      </c>
      <c r="I189" s="26">
        <v>0</v>
      </c>
      <c r="J189" s="26">
        <f t="shared" si="66"/>
        <v>0</v>
      </c>
      <c r="K189" s="26">
        <f t="shared" si="67"/>
        <v>0</v>
      </c>
      <c r="L189" s="26">
        <f t="shared" si="68"/>
        <v>0</v>
      </c>
      <c r="M189" s="2" t="s">
        <v>197</v>
      </c>
      <c r="Z189" s="26">
        <f t="shared" si="69"/>
        <v>0</v>
      </c>
      <c r="AB189" s="26">
        <f t="shared" si="70"/>
        <v>0</v>
      </c>
      <c r="AC189" s="26">
        <f t="shared" si="71"/>
        <v>0</v>
      </c>
      <c r="AD189" s="26">
        <f t="shared" si="72"/>
        <v>0</v>
      </c>
      <c r="AE189" s="26">
        <f t="shared" si="73"/>
        <v>0</v>
      </c>
      <c r="AF189" s="26">
        <f t="shared" si="74"/>
        <v>0</v>
      </c>
      <c r="AG189" s="26">
        <f t="shared" si="75"/>
        <v>0</v>
      </c>
      <c r="AH189" s="26">
        <f t="shared" si="76"/>
        <v>0</v>
      </c>
      <c r="AI189" s="1" t="s">
        <v>356</v>
      </c>
      <c r="AJ189" s="26">
        <f t="shared" si="77"/>
        <v>0</v>
      </c>
      <c r="AK189" s="26">
        <f t="shared" si="78"/>
        <v>0</v>
      </c>
      <c r="AL189" s="26">
        <f t="shared" si="79"/>
        <v>0</v>
      </c>
      <c r="AN189" s="26">
        <v>21</v>
      </c>
      <c r="AO189" s="26">
        <f aca="true" t="shared" si="88" ref="AO189:AO195">I189*1</f>
        <v>0</v>
      </c>
      <c r="AP189" s="26">
        <f aca="true" t="shared" si="89" ref="AP189:AP195">I189*(1-1)</f>
        <v>0</v>
      </c>
      <c r="AQ189" s="28" t="s">
        <v>535</v>
      </c>
      <c r="AV189" s="26">
        <f t="shared" si="80"/>
        <v>0</v>
      </c>
      <c r="AW189" s="26">
        <f t="shared" si="81"/>
        <v>0</v>
      </c>
      <c r="AX189" s="26">
        <f t="shared" si="82"/>
        <v>0</v>
      </c>
      <c r="AY189" s="28" t="s">
        <v>560</v>
      </c>
      <c r="AZ189" s="28" t="s">
        <v>190</v>
      </c>
      <c r="BA189" s="1" t="s">
        <v>397</v>
      </c>
      <c r="BC189" s="26">
        <f t="shared" si="83"/>
        <v>0</v>
      </c>
      <c r="BD189" s="26">
        <f t="shared" si="84"/>
        <v>0</v>
      </c>
      <c r="BE189" s="26">
        <v>0</v>
      </c>
      <c r="BF189" s="26">
        <f>189</f>
        <v>189</v>
      </c>
      <c r="BH189" s="26">
        <f t="shared" si="85"/>
        <v>0</v>
      </c>
      <c r="BI189" s="26">
        <f t="shared" si="86"/>
        <v>0</v>
      </c>
      <c r="BJ189" s="26">
        <f t="shared" si="87"/>
        <v>0</v>
      </c>
      <c r="BK189" s="26"/>
      <c r="BL189" s="26"/>
    </row>
    <row r="190" spans="1:64" ht="15" customHeight="1">
      <c r="A190" s="33" t="s">
        <v>242</v>
      </c>
      <c r="B190" s="6" t="s">
        <v>117</v>
      </c>
      <c r="C190" s="62" t="s">
        <v>111</v>
      </c>
      <c r="D190" s="62"/>
      <c r="E190" s="62"/>
      <c r="F190" s="62"/>
      <c r="G190" s="6" t="s">
        <v>141</v>
      </c>
      <c r="H190" s="26">
        <v>1</v>
      </c>
      <c r="I190" s="26">
        <v>0</v>
      </c>
      <c r="J190" s="26">
        <f t="shared" si="66"/>
        <v>0</v>
      </c>
      <c r="K190" s="26">
        <f t="shared" si="67"/>
        <v>0</v>
      </c>
      <c r="L190" s="26">
        <f t="shared" si="68"/>
        <v>0</v>
      </c>
      <c r="M190" s="2" t="s">
        <v>197</v>
      </c>
      <c r="Z190" s="26">
        <f t="shared" si="69"/>
        <v>0</v>
      </c>
      <c r="AB190" s="26">
        <f t="shared" si="70"/>
        <v>0</v>
      </c>
      <c r="AC190" s="26">
        <f t="shared" si="71"/>
        <v>0</v>
      </c>
      <c r="AD190" s="26">
        <f t="shared" si="72"/>
        <v>0</v>
      </c>
      <c r="AE190" s="26">
        <f t="shared" si="73"/>
        <v>0</v>
      </c>
      <c r="AF190" s="26">
        <f t="shared" si="74"/>
        <v>0</v>
      </c>
      <c r="AG190" s="26">
        <f t="shared" si="75"/>
        <v>0</v>
      </c>
      <c r="AH190" s="26">
        <f t="shared" si="76"/>
        <v>0</v>
      </c>
      <c r="AI190" s="1" t="s">
        <v>356</v>
      </c>
      <c r="AJ190" s="26">
        <f t="shared" si="77"/>
        <v>0</v>
      </c>
      <c r="AK190" s="26">
        <f t="shared" si="78"/>
        <v>0</v>
      </c>
      <c r="AL190" s="26">
        <f t="shared" si="79"/>
        <v>0</v>
      </c>
      <c r="AN190" s="26">
        <v>21</v>
      </c>
      <c r="AO190" s="26">
        <f t="shared" si="88"/>
        <v>0</v>
      </c>
      <c r="AP190" s="26">
        <f t="shared" si="89"/>
        <v>0</v>
      </c>
      <c r="AQ190" s="28" t="s">
        <v>535</v>
      </c>
      <c r="AV190" s="26">
        <f t="shared" si="80"/>
        <v>0</v>
      </c>
      <c r="AW190" s="26">
        <f t="shared" si="81"/>
        <v>0</v>
      </c>
      <c r="AX190" s="26">
        <f t="shared" si="82"/>
        <v>0</v>
      </c>
      <c r="AY190" s="28" t="s">
        <v>560</v>
      </c>
      <c r="AZ190" s="28" t="s">
        <v>190</v>
      </c>
      <c r="BA190" s="1" t="s">
        <v>397</v>
      </c>
      <c r="BC190" s="26">
        <f t="shared" si="83"/>
        <v>0</v>
      </c>
      <c r="BD190" s="26">
        <f t="shared" si="84"/>
        <v>0</v>
      </c>
      <c r="BE190" s="26">
        <v>0</v>
      </c>
      <c r="BF190" s="26">
        <f>190</f>
        <v>190</v>
      </c>
      <c r="BH190" s="26">
        <f t="shared" si="85"/>
        <v>0</v>
      </c>
      <c r="BI190" s="26">
        <f t="shared" si="86"/>
        <v>0</v>
      </c>
      <c r="BJ190" s="26">
        <f t="shared" si="87"/>
        <v>0</v>
      </c>
      <c r="BK190" s="26"/>
      <c r="BL190" s="26"/>
    </row>
    <row r="191" spans="1:64" ht="15" customHeight="1">
      <c r="A191" s="33" t="s">
        <v>333</v>
      </c>
      <c r="B191" s="6" t="s">
        <v>521</v>
      </c>
      <c r="C191" s="62" t="s">
        <v>111</v>
      </c>
      <c r="D191" s="62"/>
      <c r="E191" s="62"/>
      <c r="F191" s="62"/>
      <c r="G191" s="6" t="s">
        <v>141</v>
      </c>
      <c r="H191" s="26">
        <v>2</v>
      </c>
      <c r="I191" s="26">
        <v>0</v>
      </c>
      <c r="J191" s="26">
        <f t="shared" si="66"/>
        <v>0</v>
      </c>
      <c r="K191" s="26">
        <f t="shared" si="67"/>
        <v>0</v>
      </c>
      <c r="L191" s="26">
        <f t="shared" si="68"/>
        <v>0</v>
      </c>
      <c r="M191" s="2" t="s">
        <v>197</v>
      </c>
      <c r="Z191" s="26">
        <f t="shared" si="69"/>
        <v>0</v>
      </c>
      <c r="AB191" s="26">
        <f t="shared" si="70"/>
        <v>0</v>
      </c>
      <c r="AC191" s="26">
        <f t="shared" si="71"/>
        <v>0</v>
      </c>
      <c r="AD191" s="26">
        <f t="shared" si="72"/>
        <v>0</v>
      </c>
      <c r="AE191" s="26">
        <f t="shared" si="73"/>
        <v>0</v>
      </c>
      <c r="AF191" s="26">
        <f t="shared" si="74"/>
        <v>0</v>
      </c>
      <c r="AG191" s="26">
        <f t="shared" si="75"/>
        <v>0</v>
      </c>
      <c r="AH191" s="26">
        <f t="shared" si="76"/>
        <v>0</v>
      </c>
      <c r="AI191" s="1" t="s">
        <v>356</v>
      </c>
      <c r="AJ191" s="26">
        <f t="shared" si="77"/>
        <v>0</v>
      </c>
      <c r="AK191" s="26">
        <f t="shared" si="78"/>
        <v>0</v>
      </c>
      <c r="AL191" s="26">
        <f t="shared" si="79"/>
        <v>0</v>
      </c>
      <c r="AN191" s="26">
        <v>21</v>
      </c>
      <c r="AO191" s="26">
        <f t="shared" si="88"/>
        <v>0</v>
      </c>
      <c r="AP191" s="26">
        <f t="shared" si="89"/>
        <v>0</v>
      </c>
      <c r="AQ191" s="28" t="s">
        <v>535</v>
      </c>
      <c r="AV191" s="26">
        <f t="shared" si="80"/>
        <v>0</v>
      </c>
      <c r="AW191" s="26">
        <f t="shared" si="81"/>
        <v>0</v>
      </c>
      <c r="AX191" s="26">
        <f t="shared" si="82"/>
        <v>0</v>
      </c>
      <c r="AY191" s="28" t="s">
        <v>560</v>
      </c>
      <c r="AZ191" s="28" t="s">
        <v>190</v>
      </c>
      <c r="BA191" s="1" t="s">
        <v>397</v>
      </c>
      <c r="BC191" s="26">
        <f t="shared" si="83"/>
        <v>0</v>
      </c>
      <c r="BD191" s="26">
        <f t="shared" si="84"/>
        <v>0</v>
      </c>
      <c r="BE191" s="26">
        <v>0</v>
      </c>
      <c r="BF191" s="26">
        <f>191</f>
        <v>191</v>
      </c>
      <c r="BH191" s="26">
        <f t="shared" si="85"/>
        <v>0</v>
      </c>
      <c r="BI191" s="26">
        <f t="shared" si="86"/>
        <v>0</v>
      </c>
      <c r="BJ191" s="26">
        <f t="shared" si="87"/>
        <v>0</v>
      </c>
      <c r="BK191" s="26"/>
      <c r="BL191" s="26"/>
    </row>
    <row r="192" spans="1:64" ht="15" customHeight="1">
      <c r="A192" s="33" t="s">
        <v>581</v>
      </c>
      <c r="B192" s="6" t="s">
        <v>241</v>
      </c>
      <c r="C192" s="62" t="s">
        <v>502</v>
      </c>
      <c r="D192" s="62"/>
      <c r="E192" s="62"/>
      <c r="F192" s="62"/>
      <c r="G192" s="6" t="s">
        <v>141</v>
      </c>
      <c r="H192" s="26">
        <v>1</v>
      </c>
      <c r="I192" s="26">
        <v>0</v>
      </c>
      <c r="J192" s="26">
        <f t="shared" si="66"/>
        <v>0</v>
      </c>
      <c r="K192" s="26">
        <f t="shared" si="67"/>
        <v>0</v>
      </c>
      <c r="L192" s="26">
        <f t="shared" si="68"/>
        <v>0</v>
      </c>
      <c r="M192" s="2" t="s">
        <v>197</v>
      </c>
      <c r="Z192" s="26">
        <f t="shared" si="69"/>
        <v>0</v>
      </c>
      <c r="AB192" s="26">
        <f t="shared" si="70"/>
        <v>0</v>
      </c>
      <c r="AC192" s="26">
        <f t="shared" si="71"/>
        <v>0</v>
      </c>
      <c r="AD192" s="26">
        <f t="shared" si="72"/>
        <v>0</v>
      </c>
      <c r="AE192" s="26">
        <f t="shared" si="73"/>
        <v>0</v>
      </c>
      <c r="AF192" s="26">
        <f t="shared" si="74"/>
        <v>0</v>
      </c>
      <c r="AG192" s="26">
        <f t="shared" si="75"/>
        <v>0</v>
      </c>
      <c r="AH192" s="26">
        <f t="shared" si="76"/>
        <v>0</v>
      </c>
      <c r="AI192" s="1" t="s">
        <v>356</v>
      </c>
      <c r="AJ192" s="26">
        <f t="shared" si="77"/>
        <v>0</v>
      </c>
      <c r="AK192" s="26">
        <f t="shared" si="78"/>
        <v>0</v>
      </c>
      <c r="AL192" s="26">
        <f t="shared" si="79"/>
        <v>0</v>
      </c>
      <c r="AN192" s="26">
        <v>21</v>
      </c>
      <c r="AO192" s="26">
        <f t="shared" si="88"/>
        <v>0</v>
      </c>
      <c r="AP192" s="26">
        <f t="shared" si="89"/>
        <v>0</v>
      </c>
      <c r="AQ192" s="28" t="s">
        <v>535</v>
      </c>
      <c r="AV192" s="26">
        <f t="shared" si="80"/>
        <v>0</v>
      </c>
      <c r="AW192" s="26">
        <f t="shared" si="81"/>
        <v>0</v>
      </c>
      <c r="AX192" s="26">
        <f t="shared" si="82"/>
        <v>0</v>
      </c>
      <c r="AY192" s="28" t="s">
        <v>560</v>
      </c>
      <c r="AZ192" s="28" t="s">
        <v>190</v>
      </c>
      <c r="BA192" s="1" t="s">
        <v>397</v>
      </c>
      <c r="BC192" s="26">
        <f t="shared" si="83"/>
        <v>0</v>
      </c>
      <c r="BD192" s="26">
        <f t="shared" si="84"/>
        <v>0</v>
      </c>
      <c r="BE192" s="26">
        <v>0</v>
      </c>
      <c r="BF192" s="26">
        <f>192</f>
        <v>192</v>
      </c>
      <c r="BH192" s="26">
        <f t="shared" si="85"/>
        <v>0</v>
      </c>
      <c r="BI192" s="26">
        <f t="shared" si="86"/>
        <v>0</v>
      </c>
      <c r="BJ192" s="26">
        <f t="shared" si="87"/>
        <v>0</v>
      </c>
      <c r="BK192" s="26"/>
      <c r="BL192" s="26"/>
    </row>
    <row r="193" spans="1:64" ht="15" customHeight="1">
      <c r="A193" s="33" t="s">
        <v>363</v>
      </c>
      <c r="B193" s="6" t="s">
        <v>384</v>
      </c>
      <c r="C193" s="62" t="s">
        <v>326</v>
      </c>
      <c r="D193" s="62"/>
      <c r="E193" s="62"/>
      <c r="F193" s="62"/>
      <c r="G193" s="6" t="s">
        <v>141</v>
      </c>
      <c r="H193" s="26">
        <v>1</v>
      </c>
      <c r="I193" s="26">
        <v>0</v>
      </c>
      <c r="J193" s="26">
        <f t="shared" si="66"/>
        <v>0</v>
      </c>
      <c r="K193" s="26">
        <f t="shared" si="67"/>
        <v>0</v>
      </c>
      <c r="L193" s="26">
        <f t="shared" si="68"/>
        <v>0</v>
      </c>
      <c r="M193" s="2" t="s">
        <v>356</v>
      </c>
      <c r="Z193" s="26">
        <f t="shared" si="69"/>
        <v>0</v>
      </c>
      <c r="AB193" s="26">
        <f t="shared" si="70"/>
        <v>0</v>
      </c>
      <c r="AC193" s="26">
        <f t="shared" si="71"/>
        <v>0</v>
      </c>
      <c r="AD193" s="26">
        <f t="shared" si="72"/>
        <v>0</v>
      </c>
      <c r="AE193" s="26">
        <f t="shared" si="73"/>
        <v>0</v>
      </c>
      <c r="AF193" s="26">
        <f t="shared" si="74"/>
        <v>0</v>
      </c>
      <c r="AG193" s="26">
        <f t="shared" si="75"/>
        <v>0</v>
      </c>
      <c r="AH193" s="26">
        <f t="shared" si="76"/>
        <v>0</v>
      </c>
      <c r="AI193" s="1" t="s">
        <v>356</v>
      </c>
      <c r="AJ193" s="26">
        <f t="shared" si="77"/>
        <v>0</v>
      </c>
      <c r="AK193" s="26">
        <f t="shared" si="78"/>
        <v>0</v>
      </c>
      <c r="AL193" s="26">
        <f t="shared" si="79"/>
        <v>0</v>
      </c>
      <c r="AN193" s="26">
        <v>21</v>
      </c>
      <c r="AO193" s="26">
        <f t="shared" si="88"/>
        <v>0</v>
      </c>
      <c r="AP193" s="26">
        <f t="shared" si="89"/>
        <v>0</v>
      </c>
      <c r="AQ193" s="28" t="s">
        <v>535</v>
      </c>
      <c r="AV193" s="26">
        <f t="shared" si="80"/>
        <v>0</v>
      </c>
      <c r="AW193" s="26">
        <f t="shared" si="81"/>
        <v>0</v>
      </c>
      <c r="AX193" s="26">
        <f t="shared" si="82"/>
        <v>0</v>
      </c>
      <c r="AY193" s="28" t="s">
        <v>560</v>
      </c>
      <c r="AZ193" s="28" t="s">
        <v>190</v>
      </c>
      <c r="BA193" s="1" t="s">
        <v>397</v>
      </c>
      <c r="BC193" s="26">
        <f t="shared" si="83"/>
        <v>0</v>
      </c>
      <c r="BD193" s="26">
        <f t="shared" si="84"/>
        <v>0</v>
      </c>
      <c r="BE193" s="26">
        <v>0</v>
      </c>
      <c r="BF193" s="26">
        <f>193</f>
        <v>193</v>
      </c>
      <c r="BH193" s="26">
        <f t="shared" si="85"/>
        <v>0</v>
      </c>
      <c r="BI193" s="26">
        <f t="shared" si="86"/>
        <v>0</v>
      </c>
      <c r="BJ193" s="26">
        <f t="shared" si="87"/>
        <v>0</v>
      </c>
      <c r="BK193" s="26"/>
      <c r="BL193" s="26"/>
    </row>
    <row r="194" spans="1:64" ht="15" customHeight="1">
      <c r="A194" s="33" t="s">
        <v>588</v>
      </c>
      <c r="B194" s="6" t="s">
        <v>315</v>
      </c>
      <c r="C194" s="62" t="s">
        <v>89</v>
      </c>
      <c r="D194" s="62"/>
      <c r="E194" s="62"/>
      <c r="F194" s="62"/>
      <c r="G194" s="6" t="s">
        <v>141</v>
      </c>
      <c r="H194" s="26">
        <v>2</v>
      </c>
      <c r="I194" s="26">
        <v>0</v>
      </c>
      <c r="J194" s="26">
        <f t="shared" si="66"/>
        <v>0</v>
      </c>
      <c r="K194" s="26">
        <f t="shared" si="67"/>
        <v>0</v>
      </c>
      <c r="L194" s="26">
        <f t="shared" si="68"/>
        <v>0</v>
      </c>
      <c r="M194" s="2" t="s">
        <v>356</v>
      </c>
      <c r="Z194" s="26">
        <f t="shared" si="69"/>
        <v>0</v>
      </c>
      <c r="AB194" s="26">
        <f t="shared" si="70"/>
        <v>0</v>
      </c>
      <c r="AC194" s="26">
        <f t="shared" si="71"/>
        <v>0</v>
      </c>
      <c r="AD194" s="26">
        <f t="shared" si="72"/>
        <v>0</v>
      </c>
      <c r="AE194" s="26">
        <f t="shared" si="73"/>
        <v>0</v>
      </c>
      <c r="AF194" s="26">
        <f t="shared" si="74"/>
        <v>0</v>
      </c>
      <c r="AG194" s="26">
        <f t="shared" si="75"/>
        <v>0</v>
      </c>
      <c r="AH194" s="26">
        <f t="shared" si="76"/>
        <v>0</v>
      </c>
      <c r="AI194" s="1" t="s">
        <v>356</v>
      </c>
      <c r="AJ194" s="26">
        <f t="shared" si="77"/>
        <v>0</v>
      </c>
      <c r="AK194" s="26">
        <f t="shared" si="78"/>
        <v>0</v>
      </c>
      <c r="AL194" s="26">
        <f t="shared" si="79"/>
        <v>0</v>
      </c>
      <c r="AN194" s="26">
        <v>21</v>
      </c>
      <c r="AO194" s="26">
        <f t="shared" si="88"/>
        <v>0</v>
      </c>
      <c r="AP194" s="26">
        <f t="shared" si="89"/>
        <v>0</v>
      </c>
      <c r="AQ194" s="28" t="s">
        <v>535</v>
      </c>
      <c r="AV194" s="26">
        <f t="shared" si="80"/>
        <v>0</v>
      </c>
      <c r="AW194" s="26">
        <f t="shared" si="81"/>
        <v>0</v>
      </c>
      <c r="AX194" s="26">
        <f t="shared" si="82"/>
        <v>0</v>
      </c>
      <c r="AY194" s="28" t="s">
        <v>560</v>
      </c>
      <c r="AZ194" s="28" t="s">
        <v>190</v>
      </c>
      <c r="BA194" s="1" t="s">
        <v>397</v>
      </c>
      <c r="BC194" s="26">
        <f t="shared" si="83"/>
        <v>0</v>
      </c>
      <c r="BD194" s="26">
        <f t="shared" si="84"/>
        <v>0</v>
      </c>
      <c r="BE194" s="26">
        <v>0</v>
      </c>
      <c r="BF194" s="26">
        <f>194</f>
        <v>194</v>
      </c>
      <c r="BH194" s="26">
        <f t="shared" si="85"/>
        <v>0</v>
      </c>
      <c r="BI194" s="26">
        <f t="shared" si="86"/>
        <v>0</v>
      </c>
      <c r="BJ194" s="26">
        <f t="shared" si="87"/>
        <v>0</v>
      </c>
      <c r="BK194" s="26"/>
      <c r="BL194" s="26"/>
    </row>
    <row r="195" spans="1:64" ht="15" customHeight="1">
      <c r="A195" s="33" t="s">
        <v>554</v>
      </c>
      <c r="B195" s="6" t="s">
        <v>263</v>
      </c>
      <c r="C195" s="62" t="s">
        <v>75</v>
      </c>
      <c r="D195" s="62"/>
      <c r="E195" s="62"/>
      <c r="F195" s="62"/>
      <c r="G195" s="6" t="s">
        <v>141</v>
      </c>
      <c r="H195" s="26">
        <v>1</v>
      </c>
      <c r="I195" s="26">
        <v>0</v>
      </c>
      <c r="J195" s="26">
        <f t="shared" si="66"/>
        <v>0</v>
      </c>
      <c r="K195" s="26">
        <f t="shared" si="67"/>
        <v>0</v>
      </c>
      <c r="L195" s="26">
        <f t="shared" si="68"/>
        <v>0</v>
      </c>
      <c r="M195" s="2" t="s">
        <v>356</v>
      </c>
      <c r="Z195" s="26">
        <f t="shared" si="69"/>
        <v>0</v>
      </c>
      <c r="AB195" s="26">
        <f t="shared" si="70"/>
        <v>0</v>
      </c>
      <c r="AC195" s="26">
        <f t="shared" si="71"/>
        <v>0</v>
      </c>
      <c r="AD195" s="26">
        <f t="shared" si="72"/>
        <v>0</v>
      </c>
      <c r="AE195" s="26">
        <f t="shared" si="73"/>
        <v>0</v>
      </c>
      <c r="AF195" s="26">
        <f t="shared" si="74"/>
        <v>0</v>
      </c>
      <c r="AG195" s="26">
        <f t="shared" si="75"/>
        <v>0</v>
      </c>
      <c r="AH195" s="26">
        <f t="shared" si="76"/>
        <v>0</v>
      </c>
      <c r="AI195" s="1" t="s">
        <v>356</v>
      </c>
      <c r="AJ195" s="26">
        <f t="shared" si="77"/>
        <v>0</v>
      </c>
      <c r="AK195" s="26">
        <f t="shared" si="78"/>
        <v>0</v>
      </c>
      <c r="AL195" s="26">
        <f t="shared" si="79"/>
        <v>0</v>
      </c>
      <c r="AN195" s="26">
        <v>21</v>
      </c>
      <c r="AO195" s="26">
        <f t="shared" si="88"/>
        <v>0</v>
      </c>
      <c r="AP195" s="26">
        <f t="shared" si="89"/>
        <v>0</v>
      </c>
      <c r="AQ195" s="28" t="s">
        <v>535</v>
      </c>
      <c r="AV195" s="26">
        <f t="shared" si="80"/>
        <v>0</v>
      </c>
      <c r="AW195" s="26">
        <f t="shared" si="81"/>
        <v>0</v>
      </c>
      <c r="AX195" s="26">
        <f t="shared" si="82"/>
        <v>0</v>
      </c>
      <c r="AY195" s="28" t="s">
        <v>560</v>
      </c>
      <c r="AZ195" s="28" t="s">
        <v>190</v>
      </c>
      <c r="BA195" s="1" t="s">
        <v>397</v>
      </c>
      <c r="BC195" s="26">
        <f t="shared" si="83"/>
        <v>0</v>
      </c>
      <c r="BD195" s="26">
        <f t="shared" si="84"/>
        <v>0</v>
      </c>
      <c r="BE195" s="26">
        <v>0</v>
      </c>
      <c r="BF195" s="26">
        <f>195</f>
        <v>195</v>
      </c>
      <c r="BH195" s="26">
        <f t="shared" si="85"/>
        <v>0</v>
      </c>
      <c r="BI195" s="26">
        <f t="shared" si="86"/>
        <v>0</v>
      </c>
      <c r="BJ195" s="26">
        <f t="shared" si="87"/>
        <v>0</v>
      </c>
      <c r="BK195" s="26"/>
      <c r="BL195" s="26"/>
    </row>
    <row r="196" spans="1:64" ht="15" customHeight="1">
      <c r="A196" s="33" t="s">
        <v>512</v>
      </c>
      <c r="B196" s="6" t="s">
        <v>174</v>
      </c>
      <c r="C196" s="62" t="s">
        <v>280</v>
      </c>
      <c r="D196" s="62"/>
      <c r="E196" s="62"/>
      <c r="F196" s="62"/>
      <c r="G196" s="6" t="s">
        <v>141</v>
      </c>
      <c r="H196" s="26">
        <v>1</v>
      </c>
      <c r="I196" s="26">
        <v>0</v>
      </c>
      <c r="J196" s="26">
        <f t="shared" si="66"/>
        <v>0</v>
      </c>
      <c r="K196" s="26">
        <f t="shared" si="67"/>
        <v>0</v>
      </c>
      <c r="L196" s="26">
        <f t="shared" si="68"/>
        <v>0</v>
      </c>
      <c r="M196" s="2" t="s">
        <v>197</v>
      </c>
      <c r="Z196" s="26">
        <f t="shared" si="69"/>
        <v>0</v>
      </c>
      <c r="AB196" s="26">
        <f t="shared" si="70"/>
        <v>0</v>
      </c>
      <c r="AC196" s="26">
        <f t="shared" si="71"/>
        <v>0</v>
      </c>
      <c r="AD196" s="26">
        <f t="shared" si="72"/>
        <v>0</v>
      </c>
      <c r="AE196" s="26">
        <f t="shared" si="73"/>
        <v>0</v>
      </c>
      <c r="AF196" s="26">
        <f t="shared" si="74"/>
        <v>0</v>
      </c>
      <c r="AG196" s="26">
        <f t="shared" si="75"/>
        <v>0</v>
      </c>
      <c r="AH196" s="26">
        <f t="shared" si="76"/>
        <v>0</v>
      </c>
      <c r="AI196" s="1" t="s">
        <v>356</v>
      </c>
      <c r="AJ196" s="26">
        <f t="shared" si="77"/>
        <v>0</v>
      </c>
      <c r="AK196" s="26">
        <f t="shared" si="78"/>
        <v>0</v>
      </c>
      <c r="AL196" s="26">
        <f t="shared" si="79"/>
        <v>0</v>
      </c>
      <c r="AN196" s="26">
        <v>21</v>
      </c>
      <c r="AO196" s="26">
        <f>I196*0</f>
        <v>0</v>
      </c>
      <c r="AP196" s="26">
        <f>I196*(1-0)</f>
        <v>0</v>
      </c>
      <c r="AQ196" s="28" t="s">
        <v>353</v>
      </c>
      <c r="AV196" s="26">
        <f t="shared" si="80"/>
        <v>0</v>
      </c>
      <c r="AW196" s="26">
        <f t="shared" si="81"/>
        <v>0</v>
      </c>
      <c r="AX196" s="26">
        <f t="shared" si="82"/>
        <v>0</v>
      </c>
      <c r="AY196" s="28" t="s">
        <v>560</v>
      </c>
      <c r="AZ196" s="28" t="s">
        <v>190</v>
      </c>
      <c r="BA196" s="1" t="s">
        <v>397</v>
      </c>
      <c r="BC196" s="26">
        <f t="shared" si="83"/>
        <v>0</v>
      </c>
      <c r="BD196" s="26">
        <f t="shared" si="84"/>
        <v>0</v>
      </c>
      <c r="BE196" s="26">
        <v>0</v>
      </c>
      <c r="BF196" s="26">
        <f>196</f>
        <v>196</v>
      </c>
      <c r="BH196" s="26">
        <f t="shared" si="85"/>
        <v>0</v>
      </c>
      <c r="BI196" s="26">
        <f t="shared" si="86"/>
        <v>0</v>
      </c>
      <c r="BJ196" s="26">
        <f t="shared" si="87"/>
        <v>0</v>
      </c>
      <c r="BK196" s="26"/>
      <c r="BL196" s="26"/>
    </row>
    <row r="197" spans="1:64" ht="15" customHeight="1">
      <c r="A197" s="33" t="s">
        <v>272</v>
      </c>
      <c r="B197" s="6" t="s">
        <v>537</v>
      </c>
      <c r="C197" s="62" t="s">
        <v>508</v>
      </c>
      <c r="D197" s="62"/>
      <c r="E197" s="62"/>
      <c r="F197" s="62"/>
      <c r="G197" s="6" t="s">
        <v>141</v>
      </c>
      <c r="H197" s="26">
        <v>1</v>
      </c>
      <c r="I197" s="26">
        <v>0</v>
      </c>
      <c r="J197" s="26">
        <f t="shared" si="66"/>
        <v>0</v>
      </c>
      <c r="K197" s="26">
        <f t="shared" si="67"/>
        <v>0</v>
      </c>
      <c r="L197" s="26">
        <f t="shared" si="68"/>
        <v>0</v>
      </c>
      <c r="M197" s="2" t="s">
        <v>197</v>
      </c>
      <c r="Z197" s="26">
        <f t="shared" si="69"/>
        <v>0</v>
      </c>
      <c r="AB197" s="26">
        <f t="shared" si="70"/>
        <v>0</v>
      </c>
      <c r="AC197" s="26">
        <f t="shared" si="71"/>
        <v>0</v>
      </c>
      <c r="AD197" s="26">
        <f t="shared" si="72"/>
        <v>0</v>
      </c>
      <c r="AE197" s="26">
        <f t="shared" si="73"/>
        <v>0</v>
      </c>
      <c r="AF197" s="26">
        <f t="shared" si="74"/>
        <v>0</v>
      </c>
      <c r="AG197" s="26">
        <f t="shared" si="75"/>
        <v>0</v>
      </c>
      <c r="AH197" s="26">
        <f t="shared" si="76"/>
        <v>0</v>
      </c>
      <c r="AI197" s="1" t="s">
        <v>356</v>
      </c>
      <c r="AJ197" s="26">
        <f t="shared" si="77"/>
        <v>0</v>
      </c>
      <c r="AK197" s="26">
        <f t="shared" si="78"/>
        <v>0</v>
      </c>
      <c r="AL197" s="26">
        <f t="shared" si="79"/>
        <v>0</v>
      </c>
      <c r="AN197" s="26">
        <v>21</v>
      </c>
      <c r="AO197" s="26">
        <f>I197*0</f>
        <v>0</v>
      </c>
      <c r="AP197" s="26">
        <f>I197*(1-0)</f>
        <v>0</v>
      </c>
      <c r="AQ197" s="28" t="s">
        <v>353</v>
      </c>
      <c r="AV197" s="26">
        <f t="shared" si="80"/>
        <v>0</v>
      </c>
      <c r="AW197" s="26">
        <f t="shared" si="81"/>
        <v>0</v>
      </c>
      <c r="AX197" s="26">
        <f t="shared" si="82"/>
        <v>0</v>
      </c>
      <c r="AY197" s="28" t="s">
        <v>560</v>
      </c>
      <c r="AZ197" s="28" t="s">
        <v>190</v>
      </c>
      <c r="BA197" s="1" t="s">
        <v>397</v>
      </c>
      <c r="BC197" s="26">
        <f t="shared" si="83"/>
        <v>0</v>
      </c>
      <c r="BD197" s="26">
        <f t="shared" si="84"/>
        <v>0</v>
      </c>
      <c r="BE197" s="26">
        <v>0</v>
      </c>
      <c r="BF197" s="26">
        <f>197</f>
        <v>197</v>
      </c>
      <c r="BH197" s="26">
        <f t="shared" si="85"/>
        <v>0</v>
      </c>
      <c r="BI197" s="26">
        <f t="shared" si="86"/>
        <v>0</v>
      </c>
      <c r="BJ197" s="26">
        <f t="shared" si="87"/>
        <v>0</v>
      </c>
      <c r="BK197" s="26"/>
      <c r="BL197" s="26"/>
    </row>
    <row r="198" spans="1:64" ht="15" customHeight="1">
      <c r="A198" s="33" t="s">
        <v>244</v>
      </c>
      <c r="B198" s="6" t="s">
        <v>189</v>
      </c>
      <c r="C198" s="62" t="s">
        <v>58</v>
      </c>
      <c r="D198" s="62"/>
      <c r="E198" s="62"/>
      <c r="F198" s="62"/>
      <c r="G198" s="6" t="s">
        <v>232</v>
      </c>
      <c r="H198" s="26">
        <v>8</v>
      </c>
      <c r="I198" s="26">
        <v>0</v>
      </c>
      <c r="J198" s="26">
        <f t="shared" si="66"/>
        <v>0</v>
      </c>
      <c r="K198" s="26">
        <f t="shared" si="67"/>
        <v>0</v>
      </c>
      <c r="L198" s="26">
        <f t="shared" si="68"/>
        <v>0</v>
      </c>
      <c r="M198" s="2" t="s">
        <v>197</v>
      </c>
      <c r="Z198" s="26">
        <f t="shared" si="69"/>
        <v>0</v>
      </c>
      <c r="AB198" s="26">
        <f t="shared" si="70"/>
        <v>0</v>
      </c>
      <c r="AC198" s="26">
        <f t="shared" si="71"/>
        <v>0</v>
      </c>
      <c r="AD198" s="26">
        <f t="shared" si="72"/>
        <v>0</v>
      </c>
      <c r="AE198" s="26">
        <f t="shared" si="73"/>
        <v>0</v>
      </c>
      <c r="AF198" s="26">
        <f t="shared" si="74"/>
        <v>0</v>
      </c>
      <c r="AG198" s="26">
        <f t="shared" si="75"/>
        <v>0</v>
      </c>
      <c r="AH198" s="26">
        <f t="shared" si="76"/>
        <v>0</v>
      </c>
      <c r="AI198" s="1" t="s">
        <v>356</v>
      </c>
      <c r="AJ198" s="26">
        <f t="shared" si="77"/>
        <v>0</v>
      </c>
      <c r="AK198" s="26">
        <f t="shared" si="78"/>
        <v>0</v>
      </c>
      <c r="AL198" s="26">
        <f t="shared" si="79"/>
        <v>0</v>
      </c>
      <c r="AN198" s="26">
        <v>21</v>
      </c>
      <c r="AO198" s="26">
        <f>I198*0</f>
        <v>0</v>
      </c>
      <c r="AP198" s="26">
        <f>I198*(1-0)</f>
        <v>0</v>
      </c>
      <c r="AQ198" s="28" t="s">
        <v>535</v>
      </c>
      <c r="AV198" s="26">
        <f t="shared" si="80"/>
        <v>0</v>
      </c>
      <c r="AW198" s="26">
        <f t="shared" si="81"/>
        <v>0</v>
      </c>
      <c r="AX198" s="26">
        <f t="shared" si="82"/>
        <v>0</v>
      </c>
      <c r="AY198" s="28" t="s">
        <v>560</v>
      </c>
      <c r="AZ198" s="28" t="s">
        <v>190</v>
      </c>
      <c r="BA198" s="1" t="s">
        <v>397</v>
      </c>
      <c r="BC198" s="26">
        <f t="shared" si="83"/>
        <v>0</v>
      </c>
      <c r="BD198" s="26">
        <f t="shared" si="84"/>
        <v>0</v>
      </c>
      <c r="BE198" s="26">
        <v>0</v>
      </c>
      <c r="BF198" s="26">
        <f>198</f>
        <v>198</v>
      </c>
      <c r="BH198" s="26">
        <f t="shared" si="85"/>
        <v>0</v>
      </c>
      <c r="BI198" s="26">
        <f t="shared" si="86"/>
        <v>0</v>
      </c>
      <c r="BJ198" s="26">
        <f t="shared" si="87"/>
        <v>0</v>
      </c>
      <c r="BK198" s="26"/>
      <c r="BL198" s="26"/>
    </row>
    <row r="199" spans="1:64" ht="15" customHeight="1">
      <c r="A199" s="33" t="s">
        <v>218</v>
      </c>
      <c r="B199" s="6" t="s">
        <v>227</v>
      </c>
      <c r="C199" s="62" t="s">
        <v>600</v>
      </c>
      <c r="D199" s="62"/>
      <c r="E199" s="62"/>
      <c r="F199" s="62"/>
      <c r="G199" s="6" t="s">
        <v>232</v>
      </c>
      <c r="H199" s="26">
        <v>16</v>
      </c>
      <c r="I199" s="26">
        <v>0</v>
      </c>
      <c r="J199" s="26">
        <f t="shared" si="66"/>
        <v>0</v>
      </c>
      <c r="K199" s="26">
        <f t="shared" si="67"/>
        <v>0</v>
      </c>
      <c r="L199" s="26">
        <f t="shared" si="68"/>
        <v>0</v>
      </c>
      <c r="M199" s="2" t="s">
        <v>197</v>
      </c>
      <c r="Z199" s="26">
        <f t="shared" si="69"/>
        <v>0</v>
      </c>
      <c r="AB199" s="26">
        <f t="shared" si="70"/>
        <v>0</v>
      </c>
      <c r="AC199" s="26">
        <f t="shared" si="71"/>
        <v>0</v>
      </c>
      <c r="AD199" s="26">
        <f t="shared" si="72"/>
        <v>0</v>
      </c>
      <c r="AE199" s="26">
        <f t="shared" si="73"/>
        <v>0</v>
      </c>
      <c r="AF199" s="26">
        <f t="shared" si="74"/>
        <v>0</v>
      </c>
      <c r="AG199" s="26">
        <f t="shared" si="75"/>
        <v>0</v>
      </c>
      <c r="AH199" s="26">
        <f t="shared" si="76"/>
        <v>0</v>
      </c>
      <c r="AI199" s="1" t="s">
        <v>356</v>
      </c>
      <c r="AJ199" s="26">
        <f t="shared" si="77"/>
        <v>0</v>
      </c>
      <c r="AK199" s="26">
        <f t="shared" si="78"/>
        <v>0</v>
      </c>
      <c r="AL199" s="26">
        <f t="shared" si="79"/>
        <v>0</v>
      </c>
      <c r="AN199" s="26">
        <v>21</v>
      </c>
      <c r="AO199" s="26">
        <f>I199*0</f>
        <v>0</v>
      </c>
      <c r="AP199" s="26">
        <f>I199*(1-0)</f>
        <v>0</v>
      </c>
      <c r="AQ199" s="28" t="s">
        <v>535</v>
      </c>
      <c r="AV199" s="26">
        <f t="shared" si="80"/>
        <v>0</v>
      </c>
      <c r="AW199" s="26">
        <f t="shared" si="81"/>
        <v>0</v>
      </c>
      <c r="AX199" s="26">
        <f t="shared" si="82"/>
        <v>0</v>
      </c>
      <c r="AY199" s="28" t="s">
        <v>560</v>
      </c>
      <c r="AZ199" s="28" t="s">
        <v>190</v>
      </c>
      <c r="BA199" s="1" t="s">
        <v>397</v>
      </c>
      <c r="BC199" s="26">
        <f t="shared" si="83"/>
        <v>0</v>
      </c>
      <c r="BD199" s="26">
        <f t="shared" si="84"/>
        <v>0</v>
      </c>
      <c r="BE199" s="26">
        <v>0</v>
      </c>
      <c r="BF199" s="26">
        <f>199</f>
        <v>199</v>
      </c>
      <c r="BH199" s="26">
        <f t="shared" si="85"/>
        <v>0</v>
      </c>
      <c r="BI199" s="26">
        <f t="shared" si="86"/>
        <v>0</v>
      </c>
      <c r="BJ199" s="26">
        <f t="shared" si="87"/>
        <v>0</v>
      </c>
      <c r="BK199" s="26"/>
      <c r="BL199" s="26"/>
    </row>
    <row r="200" spans="1:64" ht="15" customHeight="1">
      <c r="A200" s="33" t="s">
        <v>103</v>
      </c>
      <c r="B200" s="6" t="s">
        <v>454</v>
      </c>
      <c r="C200" s="62" t="s">
        <v>371</v>
      </c>
      <c r="D200" s="62"/>
      <c r="E200" s="62"/>
      <c r="F200" s="62"/>
      <c r="G200" s="6" t="s">
        <v>141</v>
      </c>
      <c r="H200" s="26">
        <v>10</v>
      </c>
      <c r="I200" s="26">
        <v>0</v>
      </c>
      <c r="J200" s="26">
        <f t="shared" si="66"/>
        <v>0</v>
      </c>
      <c r="K200" s="26">
        <f t="shared" si="67"/>
        <v>0</v>
      </c>
      <c r="L200" s="26">
        <f t="shared" si="68"/>
        <v>0</v>
      </c>
      <c r="M200" s="2" t="s">
        <v>197</v>
      </c>
      <c r="Z200" s="26">
        <f t="shared" si="69"/>
        <v>0</v>
      </c>
      <c r="AB200" s="26">
        <f t="shared" si="70"/>
        <v>0</v>
      </c>
      <c r="AC200" s="26">
        <f t="shared" si="71"/>
        <v>0</v>
      </c>
      <c r="AD200" s="26">
        <f t="shared" si="72"/>
        <v>0</v>
      </c>
      <c r="AE200" s="26">
        <f t="shared" si="73"/>
        <v>0</v>
      </c>
      <c r="AF200" s="26">
        <f t="shared" si="74"/>
        <v>0</v>
      </c>
      <c r="AG200" s="26">
        <f t="shared" si="75"/>
        <v>0</v>
      </c>
      <c r="AH200" s="26">
        <f t="shared" si="76"/>
        <v>0</v>
      </c>
      <c r="AI200" s="1" t="s">
        <v>356</v>
      </c>
      <c r="AJ200" s="26">
        <f t="shared" si="77"/>
        <v>0</v>
      </c>
      <c r="AK200" s="26">
        <f t="shared" si="78"/>
        <v>0</v>
      </c>
      <c r="AL200" s="26">
        <f t="shared" si="79"/>
        <v>0</v>
      </c>
      <c r="AN200" s="26">
        <v>21</v>
      </c>
      <c r="AO200" s="26">
        <f>I200*0</f>
        <v>0</v>
      </c>
      <c r="AP200" s="26">
        <f>I200*(1-0)</f>
        <v>0</v>
      </c>
      <c r="AQ200" s="28" t="s">
        <v>353</v>
      </c>
      <c r="AV200" s="26">
        <f t="shared" si="80"/>
        <v>0</v>
      </c>
      <c r="AW200" s="26">
        <f t="shared" si="81"/>
        <v>0</v>
      </c>
      <c r="AX200" s="26">
        <f t="shared" si="82"/>
        <v>0</v>
      </c>
      <c r="AY200" s="28" t="s">
        <v>560</v>
      </c>
      <c r="AZ200" s="28" t="s">
        <v>190</v>
      </c>
      <c r="BA200" s="1" t="s">
        <v>397</v>
      </c>
      <c r="BC200" s="26">
        <f t="shared" si="83"/>
        <v>0</v>
      </c>
      <c r="BD200" s="26">
        <f t="shared" si="84"/>
        <v>0</v>
      </c>
      <c r="BE200" s="26">
        <v>0</v>
      </c>
      <c r="BF200" s="26">
        <f>200</f>
        <v>200</v>
      </c>
      <c r="BH200" s="26">
        <f t="shared" si="85"/>
        <v>0</v>
      </c>
      <c r="BI200" s="26">
        <f t="shared" si="86"/>
        <v>0</v>
      </c>
      <c r="BJ200" s="26">
        <f t="shared" si="87"/>
        <v>0</v>
      </c>
      <c r="BK200" s="26"/>
      <c r="BL200" s="26"/>
    </row>
    <row r="201" spans="1:64" ht="15" customHeight="1">
      <c r="A201" s="33" t="s">
        <v>129</v>
      </c>
      <c r="B201" s="6" t="s">
        <v>534</v>
      </c>
      <c r="C201" s="62" t="s">
        <v>53</v>
      </c>
      <c r="D201" s="62"/>
      <c r="E201" s="62"/>
      <c r="F201" s="62"/>
      <c r="G201" s="6" t="s">
        <v>141</v>
      </c>
      <c r="H201" s="26">
        <v>10</v>
      </c>
      <c r="I201" s="26">
        <v>0</v>
      </c>
      <c r="J201" s="26">
        <f t="shared" si="66"/>
        <v>0</v>
      </c>
      <c r="K201" s="26">
        <f t="shared" si="67"/>
        <v>0</v>
      </c>
      <c r="L201" s="26">
        <f t="shared" si="68"/>
        <v>0</v>
      </c>
      <c r="M201" s="2" t="s">
        <v>197</v>
      </c>
      <c r="Z201" s="26">
        <f t="shared" si="69"/>
        <v>0</v>
      </c>
      <c r="AB201" s="26">
        <f t="shared" si="70"/>
        <v>0</v>
      </c>
      <c r="AC201" s="26">
        <f t="shared" si="71"/>
        <v>0</v>
      </c>
      <c r="AD201" s="26">
        <f t="shared" si="72"/>
        <v>0</v>
      </c>
      <c r="AE201" s="26">
        <f t="shared" si="73"/>
        <v>0</v>
      </c>
      <c r="AF201" s="26">
        <f t="shared" si="74"/>
        <v>0</v>
      </c>
      <c r="AG201" s="26">
        <f t="shared" si="75"/>
        <v>0</v>
      </c>
      <c r="AH201" s="26">
        <f t="shared" si="76"/>
        <v>0</v>
      </c>
      <c r="AI201" s="1" t="s">
        <v>356</v>
      </c>
      <c r="AJ201" s="26">
        <f t="shared" si="77"/>
        <v>0</v>
      </c>
      <c r="AK201" s="26">
        <f t="shared" si="78"/>
        <v>0</v>
      </c>
      <c r="AL201" s="26">
        <f t="shared" si="79"/>
        <v>0</v>
      </c>
      <c r="AN201" s="26">
        <v>21</v>
      </c>
      <c r="AO201" s="26">
        <f>I201*0.438374655647383</f>
        <v>0</v>
      </c>
      <c r="AP201" s="26">
        <f>I201*(1-0.438374655647383)</f>
        <v>0</v>
      </c>
      <c r="AQ201" s="28" t="s">
        <v>353</v>
      </c>
      <c r="AV201" s="26">
        <f t="shared" si="80"/>
        <v>0</v>
      </c>
      <c r="AW201" s="26">
        <f t="shared" si="81"/>
        <v>0</v>
      </c>
      <c r="AX201" s="26">
        <f t="shared" si="82"/>
        <v>0</v>
      </c>
      <c r="AY201" s="28" t="s">
        <v>560</v>
      </c>
      <c r="AZ201" s="28" t="s">
        <v>190</v>
      </c>
      <c r="BA201" s="1" t="s">
        <v>397</v>
      </c>
      <c r="BC201" s="26">
        <f t="shared" si="83"/>
        <v>0</v>
      </c>
      <c r="BD201" s="26">
        <f t="shared" si="84"/>
        <v>0</v>
      </c>
      <c r="BE201" s="26">
        <v>0</v>
      </c>
      <c r="BF201" s="26">
        <f>201</f>
        <v>201</v>
      </c>
      <c r="BH201" s="26">
        <f t="shared" si="85"/>
        <v>0</v>
      </c>
      <c r="BI201" s="26">
        <f t="shared" si="86"/>
        <v>0</v>
      </c>
      <c r="BJ201" s="26">
        <f t="shared" si="87"/>
        <v>0</v>
      </c>
      <c r="BK201" s="26"/>
      <c r="BL201" s="26"/>
    </row>
    <row r="202" spans="1:64" ht="15" customHeight="1">
      <c r="A202" s="33" t="s">
        <v>69</v>
      </c>
      <c r="B202" s="6" t="s">
        <v>158</v>
      </c>
      <c r="C202" s="62" t="s">
        <v>1</v>
      </c>
      <c r="D202" s="62"/>
      <c r="E202" s="62"/>
      <c r="F202" s="62"/>
      <c r="G202" s="6" t="s">
        <v>468</v>
      </c>
      <c r="H202" s="26">
        <v>4</v>
      </c>
      <c r="I202" s="26">
        <v>0</v>
      </c>
      <c r="J202" s="26">
        <f t="shared" si="66"/>
        <v>0</v>
      </c>
      <c r="K202" s="26">
        <f t="shared" si="67"/>
        <v>0</v>
      </c>
      <c r="L202" s="26">
        <f t="shared" si="68"/>
        <v>0</v>
      </c>
      <c r="M202" s="2" t="s">
        <v>356</v>
      </c>
      <c r="Z202" s="26">
        <f t="shared" si="69"/>
        <v>0</v>
      </c>
      <c r="AB202" s="26">
        <f t="shared" si="70"/>
        <v>0</v>
      </c>
      <c r="AC202" s="26">
        <f t="shared" si="71"/>
        <v>0</v>
      </c>
      <c r="AD202" s="26">
        <f t="shared" si="72"/>
        <v>0</v>
      </c>
      <c r="AE202" s="26">
        <f t="shared" si="73"/>
        <v>0</v>
      </c>
      <c r="AF202" s="26">
        <f t="shared" si="74"/>
        <v>0</v>
      </c>
      <c r="AG202" s="26">
        <f t="shared" si="75"/>
        <v>0</v>
      </c>
      <c r="AH202" s="26">
        <f t="shared" si="76"/>
        <v>0</v>
      </c>
      <c r="AI202" s="1" t="s">
        <v>356</v>
      </c>
      <c r="AJ202" s="26">
        <f t="shared" si="77"/>
        <v>0</v>
      </c>
      <c r="AK202" s="26">
        <f t="shared" si="78"/>
        <v>0</v>
      </c>
      <c r="AL202" s="26">
        <f t="shared" si="79"/>
        <v>0</v>
      </c>
      <c r="AN202" s="26">
        <v>21</v>
      </c>
      <c r="AO202" s="26">
        <f>I202*1</f>
        <v>0</v>
      </c>
      <c r="AP202" s="26">
        <f>I202*(1-1)</f>
        <v>0</v>
      </c>
      <c r="AQ202" s="28" t="s">
        <v>535</v>
      </c>
      <c r="AV202" s="26">
        <f t="shared" si="80"/>
        <v>0</v>
      </c>
      <c r="AW202" s="26">
        <f t="shared" si="81"/>
        <v>0</v>
      </c>
      <c r="AX202" s="26">
        <f t="shared" si="82"/>
        <v>0</v>
      </c>
      <c r="AY202" s="28" t="s">
        <v>560</v>
      </c>
      <c r="AZ202" s="28" t="s">
        <v>190</v>
      </c>
      <c r="BA202" s="1" t="s">
        <v>397</v>
      </c>
      <c r="BC202" s="26">
        <f t="shared" si="83"/>
        <v>0</v>
      </c>
      <c r="BD202" s="26">
        <f t="shared" si="84"/>
        <v>0</v>
      </c>
      <c r="BE202" s="26">
        <v>0</v>
      </c>
      <c r="BF202" s="26">
        <f>202</f>
        <v>202</v>
      </c>
      <c r="BH202" s="26">
        <f t="shared" si="85"/>
        <v>0</v>
      </c>
      <c r="BI202" s="26">
        <f t="shared" si="86"/>
        <v>0</v>
      </c>
      <c r="BJ202" s="26">
        <f t="shared" si="87"/>
        <v>0</v>
      </c>
      <c r="BK202" s="26"/>
      <c r="BL202" s="26"/>
    </row>
    <row r="203" spans="1:64" ht="15" customHeight="1">
      <c r="A203" s="33" t="s">
        <v>83</v>
      </c>
      <c r="B203" s="6" t="s">
        <v>119</v>
      </c>
      <c r="C203" s="62" t="s">
        <v>245</v>
      </c>
      <c r="D203" s="62"/>
      <c r="E203" s="62"/>
      <c r="F203" s="62"/>
      <c r="G203" s="6" t="s">
        <v>468</v>
      </c>
      <c r="H203" s="26">
        <v>2</v>
      </c>
      <c r="I203" s="26">
        <v>0</v>
      </c>
      <c r="J203" s="26">
        <f t="shared" si="66"/>
        <v>0</v>
      </c>
      <c r="K203" s="26">
        <f t="shared" si="67"/>
        <v>0</v>
      </c>
      <c r="L203" s="26">
        <f t="shared" si="68"/>
        <v>0</v>
      </c>
      <c r="M203" s="2" t="s">
        <v>356</v>
      </c>
      <c r="Z203" s="26">
        <f t="shared" si="69"/>
        <v>0</v>
      </c>
      <c r="AB203" s="26">
        <f t="shared" si="70"/>
        <v>0</v>
      </c>
      <c r="AC203" s="26">
        <f t="shared" si="71"/>
        <v>0</v>
      </c>
      <c r="AD203" s="26">
        <f t="shared" si="72"/>
        <v>0</v>
      </c>
      <c r="AE203" s="26">
        <f t="shared" si="73"/>
        <v>0</v>
      </c>
      <c r="AF203" s="26">
        <f t="shared" si="74"/>
        <v>0</v>
      </c>
      <c r="AG203" s="26">
        <f t="shared" si="75"/>
        <v>0</v>
      </c>
      <c r="AH203" s="26">
        <f t="shared" si="76"/>
        <v>0</v>
      </c>
      <c r="AI203" s="1" t="s">
        <v>356</v>
      </c>
      <c r="AJ203" s="26">
        <f t="shared" si="77"/>
        <v>0</v>
      </c>
      <c r="AK203" s="26">
        <f t="shared" si="78"/>
        <v>0</v>
      </c>
      <c r="AL203" s="26">
        <f t="shared" si="79"/>
        <v>0</v>
      </c>
      <c r="AN203" s="26">
        <v>21</v>
      </c>
      <c r="AO203" s="26">
        <f>I203*1</f>
        <v>0</v>
      </c>
      <c r="AP203" s="26">
        <f>I203*(1-1)</f>
        <v>0</v>
      </c>
      <c r="AQ203" s="28" t="s">
        <v>535</v>
      </c>
      <c r="AV203" s="26">
        <f t="shared" si="80"/>
        <v>0</v>
      </c>
      <c r="AW203" s="26">
        <f t="shared" si="81"/>
        <v>0</v>
      </c>
      <c r="AX203" s="26">
        <f t="shared" si="82"/>
        <v>0</v>
      </c>
      <c r="AY203" s="28" t="s">
        <v>560</v>
      </c>
      <c r="AZ203" s="28" t="s">
        <v>190</v>
      </c>
      <c r="BA203" s="1" t="s">
        <v>397</v>
      </c>
      <c r="BC203" s="26">
        <f t="shared" si="83"/>
        <v>0</v>
      </c>
      <c r="BD203" s="26">
        <f t="shared" si="84"/>
        <v>0</v>
      </c>
      <c r="BE203" s="26">
        <v>0</v>
      </c>
      <c r="BF203" s="26">
        <f>203</f>
        <v>203</v>
      </c>
      <c r="BH203" s="26">
        <f t="shared" si="85"/>
        <v>0</v>
      </c>
      <c r="BI203" s="26">
        <f t="shared" si="86"/>
        <v>0</v>
      </c>
      <c r="BJ203" s="26">
        <f t="shared" si="87"/>
        <v>0</v>
      </c>
      <c r="BK203" s="26"/>
      <c r="BL203" s="26"/>
    </row>
    <row r="204" spans="1:47" ht="15" customHeight="1">
      <c r="A204" s="34" t="s">
        <v>356</v>
      </c>
      <c r="B204" s="52" t="s">
        <v>172</v>
      </c>
      <c r="C204" s="77" t="s">
        <v>223</v>
      </c>
      <c r="D204" s="77"/>
      <c r="E204" s="77"/>
      <c r="F204" s="77"/>
      <c r="G204" s="5" t="s">
        <v>492</v>
      </c>
      <c r="H204" s="5" t="s">
        <v>492</v>
      </c>
      <c r="I204" s="5" t="s">
        <v>492</v>
      </c>
      <c r="J204" s="47">
        <f>SUM(J205:J228)</f>
        <v>0</v>
      </c>
      <c r="K204" s="47">
        <f>SUM(K205:K228)</f>
        <v>0</v>
      </c>
      <c r="L204" s="47">
        <f>SUM(L205:L228)</f>
        <v>0</v>
      </c>
      <c r="M204" s="13" t="s">
        <v>356</v>
      </c>
      <c r="AI204" s="1" t="s">
        <v>356</v>
      </c>
      <c r="AS204" s="47">
        <f>SUM(AJ205:AJ228)</f>
        <v>0</v>
      </c>
      <c r="AT204" s="47">
        <f>SUM(AK205:AK228)</f>
        <v>0</v>
      </c>
      <c r="AU204" s="47">
        <f>SUM(AL205:AL228)</f>
        <v>0</v>
      </c>
    </row>
    <row r="205" spans="1:64" ht="15" customHeight="1">
      <c r="A205" s="33" t="s">
        <v>499</v>
      </c>
      <c r="B205" s="6" t="s">
        <v>564</v>
      </c>
      <c r="C205" s="62" t="s">
        <v>220</v>
      </c>
      <c r="D205" s="62"/>
      <c r="E205" s="62"/>
      <c r="F205" s="62"/>
      <c r="G205" s="6" t="s">
        <v>243</v>
      </c>
      <c r="H205" s="26">
        <v>0.479</v>
      </c>
      <c r="I205" s="26">
        <v>0</v>
      </c>
      <c r="J205" s="26">
        <f>H205*AO205</f>
        <v>0</v>
      </c>
      <c r="K205" s="26">
        <f>H205*AP205</f>
        <v>0</v>
      </c>
      <c r="L205" s="26">
        <f>H205*I205</f>
        <v>0</v>
      </c>
      <c r="M205" s="2" t="s">
        <v>197</v>
      </c>
      <c r="Z205" s="26">
        <f>IF(AQ205="5",BJ205,0)</f>
        <v>0</v>
      </c>
      <c r="AB205" s="26">
        <f>IF(AQ205="1",BH205,0)</f>
        <v>0</v>
      </c>
      <c r="AC205" s="26">
        <f>IF(AQ205="1",BI205,0)</f>
        <v>0</v>
      </c>
      <c r="AD205" s="26">
        <f>IF(AQ205="7",BH205,0)</f>
        <v>0</v>
      </c>
      <c r="AE205" s="26">
        <f>IF(AQ205="7",BI205,0)</f>
        <v>0</v>
      </c>
      <c r="AF205" s="26">
        <f>IF(AQ205="2",BH205,0)</f>
        <v>0</v>
      </c>
      <c r="AG205" s="26">
        <f>IF(AQ205="2",BI205,0)</f>
        <v>0</v>
      </c>
      <c r="AH205" s="26">
        <f>IF(AQ205="0",BJ205,0)</f>
        <v>0</v>
      </c>
      <c r="AI205" s="1" t="s">
        <v>356</v>
      </c>
      <c r="AJ205" s="26">
        <f>IF(AN205=0,L205,0)</f>
        <v>0</v>
      </c>
      <c r="AK205" s="26">
        <f>IF(AN205=15,L205,0)</f>
        <v>0</v>
      </c>
      <c r="AL205" s="26">
        <f>IF(AN205=21,L205,0)</f>
        <v>0</v>
      </c>
      <c r="AN205" s="26">
        <v>21</v>
      </c>
      <c r="AO205" s="26">
        <f>I205*0</f>
        <v>0</v>
      </c>
      <c r="AP205" s="26">
        <f>I205*(1-0)</f>
        <v>0</v>
      </c>
      <c r="AQ205" s="28" t="s">
        <v>279</v>
      </c>
      <c r="AV205" s="26">
        <f>AW205+AX205</f>
        <v>0</v>
      </c>
      <c r="AW205" s="26">
        <f>H205*AO205</f>
        <v>0</v>
      </c>
      <c r="AX205" s="26">
        <f>H205*AP205</f>
        <v>0</v>
      </c>
      <c r="AY205" s="28" t="s">
        <v>214</v>
      </c>
      <c r="AZ205" s="28" t="s">
        <v>190</v>
      </c>
      <c r="BA205" s="1" t="s">
        <v>397</v>
      </c>
      <c r="BC205" s="26">
        <f>AW205+AX205</f>
        <v>0</v>
      </c>
      <c r="BD205" s="26">
        <f>I205/(100-BE205)*100</f>
        <v>0</v>
      </c>
      <c r="BE205" s="26">
        <v>0</v>
      </c>
      <c r="BF205" s="26">
        <f>205</f>
        <v>205</v>
      </c>
      <c r="BH205" s="26">
        <f>H205*AO205</f>
        <v>0</v>
      </c>
      <c r="BI205" s="26">
        <f>H205*AP205</f>
        <v>0</v>
      </c>
      <c r="BJ205" s="26">
        <f>H205*I205</f>
        <v>0</v>
      </c>
      <c r="BK205" s="26"/>
      <c r="BL205" s="26"/>
    </row>
    <row r="206" spans="1:13" ht="15" customHeight="1">
      <c r="A206" s="31"/>
      <c r="C206" s="37" t="s">
        <v>292</v>
      </c>
      <c r="F206" s="37" t="s">
        <v>356</v>
      </c>
      <c r="H206" s="20">
        <v>0.35900000000000004</v>
      </c>
      <c r="M206" s="55"/>
    </row>
    <row r="207" spans="1:13" ht="15" customHeight="1">
      <c r="A207" s="31"/>
      <c r="C207" s="37" t="s">
        <v>260</v>
      </c>
      <c r="F207" s="37" t="s">
        <v>356</v>
      </c>
      <c r="H207" s="20">
        <v>0.07100000000000001</v>
      </c>
      <c r="M207" s="55"/>
    </row>
    <row r="208" spans="1:13" ht="15" customHeight="1">
      <c r="A208" s="31"/>
      <c r="C208" s="37" t="s">
        <v>184</v>
      </c>
      <c r="F208" s="37" t="s">
        <v>356</v>
      </c>
      <c r="H208" s="20">
        <v>0.049</v>
      </c>
      <c r="M208" s="55"/>
    </row>
    <row r="209" spans="1:64" ht="15" customHeight="1">
      <c r="A209" s="33" t="s">
        <v>379</v>
      </c>
      <c r="B209" s="6" t="s">
        <v>321</v>
      </c>
      <c r="C209" s="62" t="s">
        <v>14</v>
      </c>
      <c r="D209" s="62"/>
      <c r="E209" s="62"/>
      <c r="F209" s="62"/>
      <c r="G209" s="6" t="s">
        <v>243</v>
      </c>
      <c r="H209" s="26">
        <v>6.704</v>
      </c>
      <c r="I209" s="26">
        <v>0</v>
      </c>
      <c r="J209" s="26">
        <f>H209*AO209</f>
        <v>0</v>
      </c>
      <c r="K209" s="26">
        <f>H209*AP209</f>
        <v>0</v>
      </c>
      <c r="L209" s="26">
        <f>H209*I209</f>
        <v>0</v>
      </c>
      <c r="M209" s="2" t="s">
        <v>197</v>
      </c>
      <c r="Z209" s="26">
        <f>IF(AQ209="5",BJ209,0)</f>
        <v>0</v>
      </c>
      <c r="AB209" s="26">
        <f>IF(AQ209="1",BH209,0)</f>
        <v>0</v>
      </c>
      <c r="AC209" s="26">
        <f>IF(AQ209="1",BI209,0)</f>
        <v>0</v>
      </c>
      <c r="AD209" s="26">
        <f>IF(AQ209="7",BH209,0)</f>
        <v>0</v>
      </c>
      <c r="AE209" s="26">
        <f>IF(AQ209="7",BI209,0)</f>
        <v>0</v>
      </c>
      <c r="AF209" s="26">
        <f>IF(AQ209="2",BH209,0)</f>
        <v>0</v>
      </c>
      <c r="AG209" s="26">
        <f>IF(AQ209="2",BI209,0)</f>
        <v>0</v>
      </c>
      <c r="AH209" s="26">
        <f>IF(AQ209="0",BJ209,0)</f>
        <v>0</v>
      </c>
      <c r="AI209" s="1" t="s">
        <v>356</v>
      </c>
      <c r="AJ209" s="26">
        <f>IF(AN209=0,L209,0)</f>
        <v>0</v>
      </c>
      <c r="AK209" s="26">
        <f>IF(AN209=15,L209,0)</f>
        <v>0</v>
      </c>
      <c r="AL209" s="26">
        <f>IF(AN209=21,L209,0)</f>
        <v>0</v>
      </c>
      <c r="AN209" s="26">
        <v>21</v>
      </c>
      <c r="AO209" s="26">
        <f>I209*0</f>
        <v>0</v>
      </c>
      <c r="AP209" s="26">
        <f>I209*(1-0)</f>
        <v>0</v>
      </c>
      <c r="AQ209" s="28" t="s">
        <v>279</v>
      </c>
      <c r="AV209" s="26">
        <f>AW209+AX209</f>
        <v>0</v>
      </c>
      <c r="AW209" s="26">
        <f>H209*AO209</f>
        <v>0</v>
      </c>
      <c r="AX209" s="26">
        <f>H209*AP209</f>
        <v>0</v>
      </c>
      <c r="AY209" s="28" t="s">
        <v>214</v>
      </c>
      <c r="AZ209" s="28" t="s">
        <v>190</v>
      </c>
      <c r="BA209" s="1" t="s">
        <v>397</v>
      </c>
      <c r="BC209" s="26">
        <f>AW209+AX209</f>
        <v>0</v>
      </c>
      <c r="BD209" s="26">
        <f>I209/(100-BE209)*100</f>
        <v>0</v>
      </c>
      <c r="BE209" s="26">
        <v>0</v>
      </c>
      <c r="BF209" s="26">
        <f>209</f>
        <v>209</v>
      </c>
      <c r="BH209" s="26">
        <f>H209*AO209</f>
        <v>0</v>
      </c>
      <c r="BI209" s="26">
        <f>H209*AP209</f>
        <v>0</v>
      </c>
      <c r="BJ209" s="26">
        <f>H209*I209</f>
        <v>0</v>
      </c>
      <c r="BK209" s="26"/>
      <c r="BL209" s="26"/>
    </row>
    <row r="210" spans="1:13" ht="15" customHeight="1">
      <c r="A210" s="31"/>
      <c r="C210" s="37" t="s">
        <v>381</v>
      </c>
      <c r="F210" s="37" t="s">
        <v>356</v>
      </c>
      <c r="H210" s="20">
        <v>5.023000000000001</v>
      </c>
      <c r="M210" s="55"/>
    </row>
    <row r="211" spans="1:13" ht="15" customHeight="1">
      <c r="A211" s="31"/>
      <c r="C211" s="37" t="s">
        <v>531</v>
      </c>
      <c r="F211" s="37" t="s">
        <v>356</v>
      </c>
      <c r="H211" s="20">
        <v>1.0010000000000001</v>
      </c>
      <c r="M211" s="55"/>
    </row>
    <row r="212" spans="1:13" ht="15" customHeight="1">
      <c r="A212" s="31"/>
      <c r="C212" s="37" t="s">
        <v>436</v>
      </c>
      <c r="F212" s="37" t="s">
        <v>356</v>
      </c>
      <c r="H212" s="20">
        <v>0.68</v>
      </c>
      <c r="M212" s="55"/>
    </row>
    <row r="213" spans="1:64" ht="15" customHeight="1">
      <c r="A213" s="33" t="s">
        <v>253</v>
      </c>
      <c r="B213" s="6" t="s">
        <v>575</v>
      </c>
      <c r="C213" s="62" t="s">
        <v>467</v>
      </c>
      <c r="D213" s="62"/>
      <c r="E213" s="62"/>
      <c r="F213" s="62"/>
      <c r="G213" s="6" t="s">
        <v>243</v>
      </c>
      <c r="H213" s="26">
        <v>0.479</v>
      </c>
      <c r="I213" s="26">
        <v>0</v>
      </c>
      <c r="J213" s="26">
        <f>H213*AO213</f>
        <v>0</v>
      </c>
      <c r="K213" s="26">
        <f>H213*AP213</f>
        <v>0</v>
      </c>
      <c r="L213" s="26">
        <f>H213*I213</f>
        <v>0</v>
      </c>
      <c r="M213" s="2" t="s">
        <v>197</v>
      </c>
      <c r="Z213" s="26">
        <f>IF(AQ213="5",BJ213,0)</f>
        <v>0</v>
      </c>
      <c r="AB213" s="26">
        <f>IF(AQ213="1",BH213,0)</f>
        <v>0</v>
      </c>
      <c r="AC213" s="26">
        <f>IF(AQ213="1",BI213,0)</f>
        <v>0</v>
      </c>
      <c r="AD213" s="26">
        <f>IF(AQ213="7",BH213,0)</f>
        <v>0</v>
      </c>
      <c r="AE213" s="26">
        <f>IF(AQ213="7",BI213,0)</f>
        <v>0</v>
      </c>
      <c r="AF213" s="26">
        <f>IF(AQ213="2",BH213,0)</f>
        <v>0</v>
      </c>
      <c r="AG213" s="26">
        <f>IF(AQ213="2",BI213,0)</f>
        <v>0</v>
      </c>
      <c r="AH213" s="26">
        <f>IF(AQ213="0",BJ213,0)</f>
        <v>0</v>
      </c>
      <c r="AI213" s="1" t="s">
        <v>356</v>
      </c>
      <c r="AJ213" s="26">
        <f>IF(AN213=0,L213,0)</f>
        <v>0</v>
      </c>
      <c r="AK213" s="26">
        <f>IF(AN213=15,L213,0)</f>
        <v>0</v>
      </c>
      <c r="AL213" s="26">
        <f>IF(AN213=21,L213,0)</f>
        <v>0</v>
      </c>
      <c r="AN213" s="26">
        <v>21</v>
      </c>
      <c r="AO213" s="26">
        <f>I213*0</f>
        <v>0</v>
      </c>
      <c r="AP213" s="26">
        <f>I213*(1-0)</f>
        <v>0</v>
      </c>
      <c r="AQ213" s="28" t="s">
        <v>279</v>
      </c>
      <c r="AV213" s="26">
        <f>AW213+AX213</f>
        <v>0</v>
      </c>
      <c r="AW213" s="26">
        <f>H213*AO213</f>
        <v>0</v>
      </c>
      <c r="AX213" s="26">
        <f>H213*AP213</f>
        <v>0</v>
      </c>
      <c r="AY213" s="28" t="s">
        <v>214</v>
      </c>
      <c r="AZ213" s="28" t="s">
        <v>190</v>
      </c>
      <c r="BA213" s="1" t="s">
        <v>397</v>
      </c>
      <c r="BC213" s="26">
        <f>AW213+AX213</f>
        <v>0</v>
      </c>
      <c r="BD213" s="26">
        <f>I213/(100-BE213)*100</f>
        <v>0</v>
      </c>
      <c r="BE213" s="26">
        <v>0</v>
      </c>
      <c r="BF213" s="26">
        <f>213</f>
        <v>213</v>
      </c>
      <c r="BH213" s="26">
        <f>H213*AO213</f>
        <v>0</v>
      </c>
      <c r="BI213" s="26">
        <f>H213*AP213</f>
        <v>0</v>
      </c>
      <c r="BJ213" s="26">
        <f>H213*I213</f>
        <v>0</v>
      </c>
      <c r="BK213" s="26"/>
      <c r="BL213" s="26"/>
    </row>
    <row r="214" spans="1:13" ht="15" customHeight="1">
      <c r="A214" s="31"/>
      <c r="C214" s="37" t="s">
        <v>458</v>
      </c>
      <c r="F214" s="37" t="s">
        <v>356</v>
      </c>
      <c r="H214" s="20">
        <v>0.35900000000000004</v>
      </c>
      <c r="M214" s="55"/>
    </row>
    <row r="215" spans="1:13" ht="15" customHeight="1">
      <c r="A215" s="31"/>
      <c r="C215" s="37" t="s">
        <v>260</v>
      </c>
      <c r="F215" s="37" t="s">
        <v>356</v>
      </c>
      <c r="H215" s="20">
        <v>0.07100000000000001</v>
      </c>
      <c r="M215" s="55"/>
    </row>
    <row r="216" spans="1:13" ht="15" customHeight="1">
      <c r="A216" s="31"/>
      <c r="C216" s="37" t="s">
        <v>184</v>
      </c>
      <c r="F216" s="37" t="s">
        <v>356</v>
      </c>
      <c r="H216" s="20">
        <v>0.049</v>
      </c>
      <c r="M216" s="55"/>
    </row>
    <row r="217" spans="1:64" ht="15" customHeight="1">
      <c r="A217" s="33" t="s">
        <v>378</v>
      </c>
      <c r="B217" s="6" t="s">
        <v>543</v>
      </c>
      <c r="C217" s="62" t="s">
        <v>540</v>
      </c>
      <c r="D217" s="62"/>
      <c r="E217" s="62"/>
      <c r="F217" s="62"/>
      <c r="G217" s="6" t="s">
        <v>243</v>
      </c>
      <c r="H217" s="26">
        <v>0.479</v>
      </c>
      <c r="I217" s="26">
        <v>0</v>
      </c>
      <c r="J217" s="26">
        <f>H217*AO217</f>
        <v>0</v>
      </c>
      <c r="K217" s="26">
        <f>H217*AP217</f>
        <v>0</v>
      </c>
      <c r="L217" s="26">
        <f>H217*I217</f>
        <v>0</v>
      </c>
      <c r="M217" s="2" t="s">
        <v>197</v>
      </c>
      <c r="Z217" s="26">
        <f>IF(AQ217="5",BJ217,0)</f>
        <v>0</v>
      </c>
      <c r="AB217" s="26">
        <f>IF(AQ217="1",BH217,0)</f>
        <v>0</v>
      </c>
      <c r="AC217" s="26">
        <f>IF(AQ217="1",BI217,0)</f>
        <v>0</v>
      </c>
      <c r="AD217" s="26">
        <f>IF(AQ217="7",BH217,0)</f>
        <v>0</v>
      </c>
      <c r="AE217" s="26">
        <f>IF(AQ217="7",BI217,0)</f>
        <v>0</v>
      </c>
      <c r="AF217" s="26">
        <f>IF(AQ217="2",BH217,0)</f>
        <v>0</v>
      </c>
      <c r="AG217" s="26">
        <f>IF(AQ217="2",BI217,0)</f>
        <v>0</v>
      </c>
      <c r="AH217" s="26">
        <f>IF(AQ217="0",BJ217,0)</f>
        <v>0</v>
      </c>
      <c r="AI217" s="1" t="s">
        <v>356</v>
      </c>
      <c r="AJ217" s="26">
        <f>IF(AN217=0,L217,0)</f>
        <v>0</v>
      </c>
      <c r="AK217" s="26">
        <f>IF(AN217=15,L217,0)</f>
        <v>0</v>
      </c>
      <c r="AL217" s="26">
        <f>IF(AN217=21,L217,0)</f>
        <v>0</v>
      </c>
      <c r="AN217" s="26">
        <v>21</v>
      </c>
      <c r="AO217" s="26">
        <f>I217*0</f>
        <v>0</v>
      </c>
      <c r="AP217" s="26">
        <f>I217*(1-0)</f>
        <v>0</v>
      </c>
      <c r="AQ217" s="28" t="s">
        <v>279</v>
      </c>
      <c r="AV217" s="26">
        <f>AW217+AX217</f>
        <v>0</v>
      </c>
      <c r="AW217" s="26">
        <f>H217*AO217</f>
        <v>0</v>
      </c>
      <c r="AX217" s="26">
        <f>H217*AP217</f>
        <v>0</v>
      </c>
      <c r="AY217" s="28" t="s">
        <v>214</v>
      </c>
      <c r="AZ217" s="28" t="s">
        <v>190</v>
      </c>
      <c r="BA217" s="1" t="s">
        <v>397</v>
      </c>
      <c r="BC217" s="26">
        <f>AW217+AX217</f>
        <v>0</v>
      </c>
      <c r="BD217" s="26">
        <f>I217/(100-BE217)*100</f>
        <v>0</v>
      </c>
      <c r="BE217" s="26">
        <v>0</v>
      </c>
      <c r="BF217" s="26">
        <f>217</f>
        <v>217</v>
      </c>
      <c r="BH217" s="26">
        <f>H217*AO217</f>
        <v>0</v>
      </c>
      <c r="BI217" s="26">
        <f>H217*AP217</f>
        <v>0</v>
      </c>
      <c r="BJ217" s="26">
        <f>H217*I217</f>
        <v>0</v>
      </c>
      <c r="BK217" s="26"/>
      <c r="BL217" s="26"/>
    </row>
    <row r="218" spans="1:13" ht="15" customHeight="1">
      <c r="A218" s="31"/>
      <c r="C218" s="37" t="s">
        <v>458</v>
      </c>
      <c r="F218" s="37" t="s">
        <v>356</v>
      </c>
      <c r="H218" s="20">
        <v>0.35900000000000004</v>
      </c>
      <c r="M218" s="55"/>
    </row>
    <row r="219" spans="1:13" ht="15" customHeight="1">
      <c r="A219" s="31"/>
      <c r="C219" s="37" t="s">
        <v>260</v>
      </c>
      <c r="F219" s="37" t="s">
        <v>356</v>
      </c>
      <c r="H219" s="20">
        <v>0.07100000000000001</v>
      </c>
      <c r="M219" s="55"/>
    </row>
    <row r="220" spans="1:13" ht="15" customHeight="1">
      <c r="A220" s="31"/>
      <c r="C220" s="37" t="s">
        <v>184</v>
      </c>
      <c r="F220" s="37" t="s">
        <v>356</v>
      </c>
      <c r="H220" s="20">
        <v>0.049</v>
      </c>
      <c r="M220" s="55"/>
    </row>
    <row r="221" spans="1:64" ht="15" customHeight="1">
      <c r="A221" s="33" t="s">
        <v>169</v>
      </c>
      <c r="B221" s="6" t="s">
        <v>444</v>
      </c>
      <c r="C221" s="62" t="s">
        <v>433</v>
      </c>
      <c r="D221" s="62"/>
      <c r="E221" s="62"/>
      <c r="F221" s="62"/>
      <c r="G221" s="6" t="s">
        <v>243</v>
      </c>
      <c r="H221" s="26">
        <v>9.099</v>
      </c>
      <c r="I221" s="26">
        <v>0</v>
      </c>
      <c r="J221" s="26">
        <f>H221*AO221</f>
        <v>0</v>
      </c>
      <c r="K221" s="26">
        <f>H221*AP221</f>
        <v>0</v>
      </c>
      <c r="L221" s="26">
        <f>H221*I221</f>
        <v>0</v>
      </c>
      <c r="M221" s="2" t="s">
        <v>197</v>
      </c>
      <c r="Z221" s="26">
        <f>IF(AQ221="5",BJ221,0)</f>
        <v>0</v>
      </c>
      <c r="AB221" s="26">
        <f>IF(AQ221="1",BH221,0)</f>
        <v>0</v>
      </c>
      <c r="AC221" s="26">
        <f>IF(AQ221="1",BI221,0)</f>
        <v>0</v>
      </c>
      <c r="AD221" s="26">
        <f>IF(AQ221="7",BH221,0)</f>
        <v>0</v>
      </c>
      <c r="AE221" s="26">
        <f>IF(AQ221="7",BI221,0)</f>
        <v>0</v>
      </c>
      <c r="AF221" s="26">
        <f>IF(AQ221="2",BH221,0)</f>
        <v>0</v>
      </c>
      <c r="AG221" s="26">
        <f>IF(AQ221="2",BI221,0)</f>
        <v>0</v>
      </c>
      <c r="AH221" s="26">
        <f>IF(AQ221="0",BJ221,0)</f>
        <v>0</v>
      </c>
      <c r="AI221" s="1" t="s">
        <v>356</v>
      </c>
      <c r="AJ221" s="26">
        <f>IF(AN221=0,L221,0)</f>
        <v>0</v>
      </c>
      <c r="AK221" s="26">
        <f>IF(AN221=15,L221,0)</f>
        <v>0</v>
      </c>
      <c r="AL221" s="26">
        <f>IF(AN221=21,L221,0)</f>
        <v>0</v>
      </c>
      <c r="AN221" s="26">
        <v>21</v>
      </c>
      <c r="AO221" s="26">
        <f>I221*0</f>
        <v>0</v>
      </c>
      <c r="AP221" s="26">
        <f>I221*(1-0)</f>
        <v>0</v>
      </c>
      <c r="AQ221" s="28" t="s">
        <v>279</v>
      </c>
      <c r="AV221" s="26">
        <f>AW221+AX221</f>
        <v>0</v>
      </c>
      <c r="AW221" s="26">
        <f>H221*AO221</f>
        <v>0</v>
      </c>
      <c r="AX221" s="26">
        <f>H221*AP221</f>
        <v>0</v>
      </c>
      <c r="AY221" s="28" t="s">
        <v>214</v>
      </c>
      <c r="AZ221" s="28" t="s">
        <v>190</v>
      </c>
      <c r="BA221" s="1" t="s">
        <v>397</v>
      </c>
      <c r="BC221" s="26">
        <f>AW221+AX221</f>
        <v>0</v>
      </c>
      <c r="BD221" s="26">
        <f>I221/(100-BE221)*100</f>
        <v>0</v>
      </c>
      <c r="BE221" s="26">
        <v>0</v>
      </c>
      <c r="BF221" s="26">
        <f>221</f>
        <v>221</v>
      </c>
      <c r="BH221" s="26">
        <f>H221*AO221</f>
        <v>0</v>
      </c>
      <c r="BI221" s="26">
        <f>H221*AP221</f>
        <v>0</v>
      </c>
      <c r="BJ221" s="26">
        <f>H221*I221</f>
        <v>0</v>
      </c>
      <c r="BK221" s="26"/>
      <c r="BL221" s="26"/>
    </row>
    <row r="222" spans="1:13" ht="15" customHeight="1">
      <c r="A222" s="31"/>
      <c r="C222" s="37" t="s">
        <v>566</v>
      </c>
      <c r="F222" s="37" t="s">
        <v>356</v>
      </c>
      <c r="H222" s="20">
        <v>6.817</v>
      </c>
      <c r="M222" s="55"/>
    </row>
    <row r="223" spans="1:13" ht="15" customHeight="1">
      <c r="A223" s="31"/>
      <c r="C223" s="37" t="s">
        <v>159</v>
      </c>
      <c r="F223" s="37" t="s">
        <v>356</v>
      </c>
      <c r="H223" s="20">
        <v>1.3590000000000002</v>
      </c>
      <c r="M223" s="55"/>
    </row>
    <row r="224" spans="1:13" ht="15" customHeight="1">
      <c r="A224" s="31"/>
      <c r="C224" s="37" t="s">
        <v>94</v>
      </c>
      <c r="F224" s="37" t="s">
        <v>356</v>
      </c>
      <c r="H224" s="20">
        <v>0.923</v>
      </c>
      <c r="M224" s="55"/>
    </row>
    <row r="225" spans="1:64" ht="15" customHeight="1">
      <c r="A225" s="33" t="s">
        <v>239</v>
      </c>
      <c r="B225" s="6" t="s">
        <v>98</v>
      </c>
      <c r="C225" s="62" t="s">
        <v>582</v>
      </c>
      <c r="D225" s="62"/>
      <c r="E225" s="62"/>
      <c r="F225" s="62"/>
      <c r="G225" s="6" t="s">
        <v>243</v>
      </c>
      <c r="H225" s="26">
        <v>0.359</v>
      </c>
      <c r="I225" s="26">
        <v>0</v>
      </c>
      <c r="J225" s="26">
        <f>H225*AO225</f>
        <v>0</v>
      </c>
      <c r="K225" s="26">
        <f>H225*AP225</f>
        <v>0</v>
      </c>
      <c r="L225" s="26">
        <f>H225*I225</f>
        <v>0</v>
      </c>
      <c r="M225" s="2" t="s">
        <v>197</v>
      </c>
      <c r="Z225" s="26">
        <f>IF(AQ225="5",BJ225,0)</f>
        <v>0</v>
      </c>
      <c r="AB225" s="26">
        <f>IF(AQ225="1",BH225,0)</f>
        <v>0</v>
      </c>
      <c r="AC225" s="26">
        <f>IF(AQ225="1",BI225,0)</f>
        <v>0</v>
      </c>
      <c r="AD225" s="26">
        <f>IF(AQ225="7",BH225,0)</f>
        <v>0</v>
      </c>
      <c r="AE225" s="26">
        <f>IF(AQ225="7",BI225,0)</f>
        <v>0</v>
      </c>
      <c r="AF225" s="26">
        <f>IF(AQ225="2",BH225,0)</f>
        <v>0</v>
      </c>
      <c r="AG225" s="26">
        <f>IF(AQ225="2",BI225,0)</f>
        <v>0</v>
      </c>
      <c r="AH225" s="26">
        <f>IF(AQ225="0",BJ225,0)</f>
        <v>0</v>
      </c>
      <c r="AI225" s="1" t="s">
        <v>356</v>
      </c>
      <c r="AJ225" s="26">
        <f>IF(AN225=0,L225,0)</f>
        <v>0</v>
      </c>
      <c r="AK225" s="26">
        <f>IF(AN225=15,L225,0)</f>
        <v>0</v>
      </c>
      <c r="AL225" s="26">
        <f>IF(AN225=21,L225,0)</f>
        <v>0</v>
      </c>
      <c r="AN225" s="26">
        <v>21</v>
      </c>
      <c r="AO225" s="26">
        <f>I225*0</f>
        <v>0</v>
      </c>
      <c r="AP225" s="26">
        <f>I225*(1-0)</f>
        <v>0</v>
      </c>
      <c r="AQ225" s="28" t="s">
        <v>279</v>
      </c>
      <c r="AV225" s="26">
        <f>AW225+AX225</f>
        <v>0</v>
      </c>
      <c r="AW225" s="26">
        <f>H225*AO225</f>
        <v>0</v>
      </c>
      <c r="AX225" s="26">
        <f>H225*AP225</f>
        <v>0</v>
      </c>
      <c r="AY225" s="28" t="s">
        <v>214</v>
      </c>
      <c r="AZ225" s="28" t="s">
        <v>190</v>
      </c>
      <c r="BA225" s="1" t="s">
        <v>397</v>
      </c>
      <c r="BC225" s="26">
        <f>AW225+AX225</f>
        <v>0</v>
      </c>
      <c r="BD225" s="26">
        <f>I225/(100-BE225)*100</f>
        <v>0</v>
      </c>
      <c r="BE225" s="26">
        <v>0</v>
      </c>
      <c r="BF225" s="26">
        <f>225</f>
        <v>225</v>
      </c>
      <c r="BH225" s="26">
        <f>H225*AO225</f>
        <v>0</v>
      </c>
      <c r="BI225" s="26">
        <f>H225*AP225</f>
        <v>0</v>
      </c>
      <c r="BJ225" s="26">
        <f>H225*I225</f>
        <v>0</v>
      </c>
      <c r="BK225" s="26"/>
      <c r="BL225" s="26"/>
    </row>
    <row r="226" spans="1:64" ht="15" customHeight="1">
      <c r="A226" s="33" t="s">
        <v>157</v>
      </c>
      <c r="B226" s="6" t="s">
        <v>43</v>
      </c>
      <c r="C226" s="62" t="s">
        <v>275</v>
      </c>
      <c r="D226" s="62"/>
      <c r="E226" s="62"/>
      <c r="F226" s="62"/>
      <c r="G226" s="6" t="s">
        <v>243</v>
      </c>
      <c r="H226" s="26">
        <v>0.071</v>
      </c>
      <c r="I226" s="26">
        <v>0</v>
      </c>
      <c r="J226" s="26">
        <f>H226*AO226</f>
        <v>0</v>
      </c>
      <c r="K226" s="26">
        <f>H226*AP226</f>
        <v>0</v>
      </c>
      <c r="L226" s="26">
        <f>H226*I226</f>
        <v>0</v>
      </c>
      <c r="M226" s="2" t="s">
        <v>197</v>
      </c>
      <c r="Z226" s="26">
        <f>IF(AQ226="5",BJ226,0)</f>
        <v>0</v>
      </c>
      <c r="AB226" s="26">
        <f>IF(AQ226="1",BH226,0)</f>
        <v>0</v>
      </c>
      <c r="AC226" s="26">
        <f>IF(AQ226="1",BI226,0)</f>
        <v>0</v>
      </c>
      <c r="AD226" s="26">
        <f>IF(AQ226="7",BH226,0)</f>
        <v>0</v>
      </c>
      <c r="AE226" s="26">
        <f>IF(AQ226="7",BI226,0)</f>
        <v>0</v>
      </c>
      <c r="AF226" s="26">
        <f>IF(AQ226="2",BH226,0)</f>
        <v>0</v>
      </c>
      <c r="AG226" s="26">
        <f>IF(AQ226="2",BI226,0)</f>
        <v>0</v>
      </c>
      <c r="AH226" s="26">
        <f>IF(AQ226="0",BJ226,0)</f>
        <v>0</v>
      </c>
      <c r="AI226" s="1" t="s">
        <v>356</v>
      </c>
      <c r="AJ226" s="26">
        <f>IF(AN226=0,L226,0)</f>
        <v>0</v>
      </c>
      <c r="AK226" s="26">
        <f>IF(AN226=15,L226,0)</f>
        <v>0</v>
      </c>
      <c r="AL226" s="26">
        <f>IF(AN226=21,L226,0)</f>
        <v>0</v>
      </c>
      <c r="AN226" s="26">
        <v>21</v>
      </c>
      <c r="AO226" s="26">
        <f>I226*0</f>
        <v>0</v>
      </c>
      <c r="AP226" s="26">
        <f>I226*(1-0)</f>
        <v>0</v>
      </c>
      <c r="AQ226" s="28" t="s">
        <v>279</v>
      </c>
      <c r="AV226" s="26">
        <f>AW226+AX226</f>
        <v>0</v>
      </c>
      <c r="AW226" s="26">
        <f>H226*AO226</f>
        <v>0</v>
      </c>
      <c r="AX226" s="26">
        <f>H226*AP226</f>
        <v>0</v>
      </c>
      <c r="AY226" s="28" t="s">
        <v>214</v>
      </c>
      <c r="AZ226" s="28" t="s">
        <v>190</v>
      </c>
      <c r="BA226" s="1" t="s">
        <v>397</v>
      </c>
      <c r="BC226" s="26">
        <f>AW226+AX226</f>
        <v>0</v>
      </c>
      <c r="BD226" s="26">
        <f>I226/(100-BE226)*100</f>
        <v>0</v>
      </c>
      <c r="BE226" s="26">
        <v>0</v>
      </c>
      <c r="BF226" s="26">
        <f>226</f>
        <v>226</v>
      </c>
      <c r="BH226" s="26">
        <f>H226*AO226</f>
        <v>0</v>
      </c>
      <c r="BI226" s="26">
        <f>H226*AP226</f>
        <v>0</v>
      </c>
      <c r="BJ226" s="26">
        <f>H226*I226</f>
        <v>0</v>
      </c>
      <c r="BK226" s="26"/>
      <c r="BL226" s="26"/>
    </row>
    <row r="227" spans="1:13" ht="15" customHeight="1">
      <c r="A227" s="31"/>
      <c r="C227" s="37" t="s">
        <v>260</v>
      </c>
      <c r="F227" s="37" t="s">
        <v>356</v>
      </c>
      <c r="H227" s="20">
        <v>0.07100000000000001</v>
      </c>
      <c r="M227" s="55"/>
    </row>
    <row r="228" spans="1:64" ht="15" customHeight="1">
      <c r="A228" s="33" t="s">
        <v>149</v>
      </c>
      <c r="B228" s="6" t="s">
        <v>396</v>
      </c>
      <c r="C228" s="62" t="s">
        <v>482</v>
      </c>
      <c r="D228" s="62"/>
      <c r="E228" s="62"/>
      <c r="F228" s="62"/>
      <c r="G228" s="6" t="s">
        <v>243</v>
      </c>
      <c r="H228" s="26">
        <v>0.049</v>
      </c>
      <c r="I228" s="26">
        <v>0</v>
      </c>
      <c r="J228" s="26">
        <f>H228*AO228</f>
        <v>0</v>
      </c>
      <c r="K228" s="26">
        <f>H228*AP228</f>
        <v>0</v>
      </c>
      <c r="L228" s="26">
        <f>H228*I228</f>
        <v>0</v>
      </c>
      <c r="M228" s="2" t="s">
        <v>197</v>
      </c>
      <c r="Z228" s="26">
        <f>IF(AQ228="5",BJ228,0)</f>
        <v>0</v>
      </c>
      <c r="AB228" s="26">
        <f>IF(AQ228="1",BH228,0)</f>
        <v>0</v>
      </c>
      <c r="AC228" s="26">
        <f>IF(AQ228="1",BI228,0)</f>
        <v>0</v>
      </c>
      <c r="AD228" s="26">
        <f>IF(AQ228="7",BH228,0)</f>
        <v>0</v>
      </c>
      <c r="AE228" s="26">
        <f>IF(AQ228="7",BI228,0)</f>
        <v>0</v>
      </c>
      <c r="AF228" s="26">
        <f>IF(AQ228="2",BH228,0)</f>
        <v>0</v>
      </c>
      <c r="AG228" s="26">
        <f>IF(AQ228="2",BI228,0)</f>
        <v>0</v>
      </c>
      <c r="AH228" s="26">
        <f>IF(AQ228="0",BJ228,0)</f>
        <v>0</v>
      </c>
      <c r="AI228" s="1" t="s">
        <v>356</v>
      </c>
      <c r="AJ228" s="26">
        <f>IF(AN228=0,L228,0)</f>
        <v>0</v>
      </c>
      <c r="AK228" s="26">
        <f>IF(AN228=15,L228,0)</f>
        <v>0</v>
      </c>
      <c r="AL228" s="26">
        <f>IF(AN228=21,L228,0)</f>
        <v>0</v>
      </c>
      <c r="AN228" s="26">
        <v>21</v>
      </c>
      <c r="AO228" s="26">
        <f>I228*0</f>
        <v>0</v>
      </c>
      <c r="AP228" s="26">
        <f>I228*(1-0)</f>
        <v>0</v>
      </c>
      <c r="AQ228" s="28" t="s">
        <v>279</v>
      </c>
      <c r="AV228" s="26">
        <f>AW228+AX228</f>
        <v>0</v>
      </c>
      <c r="AW228" s="26">
        <f>H228*AO228</f>
        <v>0</v>
      </c>
      <c r="AX228" s="26">
        <f>H228*AP228</f>
        <v>0</v>
      </c>
      <c r="AY228" s="28" t="s">
        <v>214</v>
      </c>
      <c r="AZ228" s="28" t="s">
        <v>190</v>
      </c>
      <c r="BA228" s="1" t="s">
        <v>397</v>
      </c>
      <c r="BC228" s="26">
        <f>AW228+AX228</f>
        <v>0</v>
      </c>
      <c r="BD228" s="26">
        <f>I228/(100-BE228)*100</f>
        <v>0</v>
      </c>
      <c r="BE228" s="26">
        <v>0</v>
      </c>
      <c r="BF228" s="26">
        <f>228</f>
        <v>228</v>
      </c>
      <c r="BH228" s="26">
        <f>H228*AO228</f>
        <v>0</v>
      </c>
      <c r="BI228" s="26">
        <f>H228*AP228</f>
        <v>0</v>
      </c>
      <c r="BJ228" s="26">
        <f>H228*I228</f>
        <v>0</v>
      </c>
      <c r="BK228" s="26"/>
      <c r="BL228" s="26"/>
    </row>
    <row r="229" spans="1:13" ht="15" customHeight="1">
      <c r="A229" s="3"/>
      <c r="B229" s="19"/>
      <c r="C229" s="41" t="s">
        <v>184</v>
      </c>
      <c r="D229" s="19"/>
      <c r="E229" s="19"/>
      <c r="F229" s="41" t="s">
        <v>356</v>
      </c>
      <c r="G229" s="19"/>
      <c r="H229" s="7">
        <v>0.049</v>
      </c>
      <c r="I229" s="19"/>
      <c r="J229" s="19"/>
      <c r="K229" s="19"/>
      <c r="L229" s="19"/>
      <c r="M229" s="4"/>
    </row>
    <row r="230" spans="10:12" ht="15" customHeight="1">
      <c r="J230" s="67" t="s">
        <v>414</v>
      </c>
      <c r="K230" s="67"/>
      <c r="L230" s="30">
        <f>L12+L19+L28+L35+L46+L54+L64+L86+L93+L98+L106+L118+L132+L136+L143+L146+L152+L167+L170+L204</f>
        <v>0</v>
      </c>
    </row>
    <row r="231" ht="15" customHeight="1">
      <c r="A231" s="8" t="s">
        <v>42</v>
      </c>
    </row>
    <row r="232" spans="1:13" ht="12.75" customHeight="1">
      <c r="A232" s="65" t="s">
        <v>356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</sheetData>
  <sheetProtection/>
  <mergeCells count="180">
    <mergeCell ref="C226:F226"/>
    <mergeCell ref="C228:F228"/>
    <mergeCell ref="J230:K230"/>
    <mergeCell ref="A232:M232"/>
    <mergeCell ref="C205:F205"/>
    <mergeCell ref="C209:F209"/>
    <mergeCell ref="C213:F213"/>
    <mergeCell ref="C217:F217"/>
    <mergeCell ref="C221:F221"/>
    <mergeCell ref="C225:F225"/>
    <mergeCell ref="C199:F199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68:F168"/>
    <mergeCell ref="C170:F170"/>
    <mergeCell ref="C171:F171"/>
    <mergeCell ref="C172:F172"/>
    <mergeCell ref="C173:F173"/>
    <mergeCell ref="C174:F174"/>
    <mergeCell ref="C157:F157"/>
    <mergeCell ref="C158:F158"/>
    <mergeCell ref="C159:F159"/>
    <mergeCell ref="C162:F162"/>
    <mergeCell ref="C165:F165"/>
    <mergeCell ref="C167:F167"/>
    <mergeCell ref="C148:F148"/>
    <mergeCell ref="C150:F150"/>
    <mergeCell ref="C151:F151"/>
    <mergeCell ref="C152:F152"/>
    <mergeCell ref="C153:F153"/>
    <mergeCell ref="C155:F155"/>
    <mergeCell ref="C139:F139"/>
    <mergeCell ref="C141:F141"/>
    <mergeCell ref="C143:F143"/>
    <mergeCell ref="C144:F144"/>
    <mergeCell ref="C146:F146"/>
    <mergeCell ref="C147:F147"/>
    <mergeCell ref="C131:F131"/>
    <mergeCell ref="C132:F132"/>
    <mergeCell ref="C133:F133"/>
    <mergeCell ref="C135:F135"/>
    <mergeCell ref="C136:F136"/>
    <mergeCell ref="C137:F137"/>
    <mergeCell ref="C117:F117"/>
    <mergeCell ref="C118:F118"/>
    <mergeCell ref="C119:F119"/>
    <mergeCell ref="C122:F122"/>
    <mergeCell ref="C125:F125"/>
    <mergeCell ref="C128:F128"/>
    <mergeCell ref="C106:F106"/>
    <mergeCell ref="C107:F107"/>
    <mergeCell ref="C109:F109"/>
    <mergeCell ref="C111:F111"/>
    <mergeCell ref="C113:F113"/>
    <mergeCell ref="C115:F115"/>
    <mergeCell ref="C97:F97"/>
    <mergeCell ref="C98:F98"/>
    <mergeCell ref="C99:F99"/>
    <mergeCell ref="C101:F101"/>
    <mergeCell ref="C103:F103"/>
    <mergeCell ref="C105:F105"/>
    <mergeCell ref="C90:F90"/>
    <mergeCell ref="C91:F91"/>
    <mergeCell ref="C92:F92"/>
    <mergeCell ref="C93:F93"/>
    <mergeCell ref="C94:F94"/>
    <mergeCell ref="C95:F95"/>
    <mergeCell ref="C84:F84"/>
    <mergeCell ref="C85:F85"/>
    <mergeCell ref="C86:F86"/>
    <mergeCell ref="C87:F87"/>
    <mergeCell ref="C88:F88"/>
    <mergeCell ref="C89:F89"/>
    <mergeCell ref="C78:F78"/>
    <mergeCell ref="C79:F79"/>
    <mergeCell ref="C80:F80"/>
    <mergeCell ref="C81:F81"/>
    <mergeCell ref="C82:F82"/>
    <mergeCell ref="C83:F83"/>
    <mergeCell ref="C72:F72"/>
    <mergeCell ref="C73:F73"/>
    <mergeCell ref="C74:F74"/>
    <mergeCell ref="C75:F75"/>
    <mergeCell ref="C76:F76"/>
    <mergeCell ref="C77:F77"/>
    <mergeCell ref="C66:F66"/>
    <mergeCell ref="C67:F67"/>
    <mergeCell ref="C68:F68"/>
    <mergeCell ref="C69:F69"/>
    <mergeCell ref="C70:F70"/>
    <mergeCell ref="C71:F71"/>
    <mergeCell ref="C59:F59"/>
    <mergeCell ref="C61:F61"/>
    <mergeCell ref="C62:F62"/>
    <mergeCell ref="C63:F63"/>
    <mergeCell ref="C64:F64"/>
    <mergeCell ref="C65:F65"/>
    <mergeCell ref="C52:F52"/>
    <mergeCell ref="C53:F53"/>
    <mergeCell ref="C54:F54"/>
    <mergeCell ref="C55:F55"/>
    <mergeCell ref="C57:F57"/>
    <mergeCell ref="C58:F58"/>
    <mergeCell ref="C46:F46"/>
    <mergeCell ref="C47:F47"/>
    <mergeCell ref="C48:F48"/>
    <mergeCell ref="C49:F49"/>
    <mergeCell ref="C50:F50"/>
    <mergeCell ref="C51:F51"/>
    <mergeCell ref="C33:F33"/>
    <mergeCell ref="C35:F35"/>
    <mergeCell ref="C36:F36"/>
    <mergeCell ref="C40:F40"/>
    <mergeCell ref="C43:F43"/>
    <mergeCell ref="C45:F45"/>
    <mergeCell ref="C19:F19"/>
    <mergeCell ref="C20:F20"/>
    <mergeCell ref="C22:F22"/>
    <mergeCell ref="C25:F25"/>
    <mergeCell ref="C28:F28"/>
    <mergeCell ref="C29:F29"/>
    <mergeCell ref="C11:F11"/>
    <mergeCell ref="J10:L10"/>
    <mergeCell ref="C12:F12"/>
    <mergeCell ref="C13:F13"/>
    <mergeCell ref="C15:F15"/>
    <mergeCell ref="C17:F17"/>
    <mergeCell ref="E8:E9"/>
    <mergeCell ref="G2:M3"/>
    <mergeCell ref="G4:M5"/>
    <mergeCell ref="G6:M7"/>
    <mergeCell ref="G8:M9"/>
    <mergeCell ref="C10:F10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M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Stanislav Volek</cp:lastModifiedBy>
  <dcterms:created xsi:type="dcterms:W3CDTF">2021-06-10T20:06:38Z</dcterms:created>
  <dcterms:modified xsi:type="dcterms:W3CDTF">2022-12-08T17:35:19Z</dcterms:modified>
  <cp:category/>
  <cp:version/>
  <cp:contentType/>
  <cp:contentStatus/>
</cp:coreProperties>
</file>