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<sst xmlns="http://schemas.openxmlformats.org/spreadsheetml/2006/main" count="1884" uniqueCount="627">
  <si>
    <t>766661112R00</t>
  </si>
  <si>
    <t>92</t>
  </si>
  <si>
    <t>Nástěnka K 247, pro výtokový ventil G 1/2</t>
  </si>
  <si>
    <t>Doba výstavby:</t>
  </si>
  <si>
    <t>771101121R00</t>
  </si>
  <si>
    <t>Projektant</t>
  </si>
  <si>
    <t>722220111R00</t>
  </si>
  <si>
    <t>67</t>
  </si>
  <si>
    <t>Základ 15%</t>
  </si>
  <si>
    <t>Malby</t>
  </si>
  <si>
    <t>0,0193+0,6329+0,0092+0,0031+0,0005   ;   ZTI</t>
  </si>
  <si>
    <t>103</t>
  </si>
  <si>
    <t>346244312R00</t>
  </si>
  <si>
    <t>pár</t>
  </si>
  <si>
    <t>725820801R00</t>
  </si>
  <si>
    <t>Lepení povlak.podlah z pásů PVC na lepidlo - včetně podlahoviny , tl. 2,0 mm</t>
  </si>
  <si>
    <t>(1,97*2+0,8)*(0,05*2+0,1) + (1,97*2+0,9)*(0,05*2+0,1) + (1,97*2+0,6)*(0,05*2+0,1)</t>
  </si>
  <si>
    <t>Demontáž baterie nástěnné do G 3/4</t>
  </si>
  <si>
    <t>Příplatek za nošení vyb. hmot každých dalších 10 m</t>
  </si>
  <si>
    <t>91</t>
  </si>
  <si>
    <t>Provedení penetrace podkladu pod dlažby</t>
  </si>
  <si>
    <t>87</t>
  </si>
  <si>
    <t>(2,175+1,615)*2*2,0-0,6*2,0-0,475*1,0   ;  m 03   po obklady</t>
  </si>
  <si>
    <t>Základ 21%</t>
  </si>
  <si>
    <t>20</t>
  </si>
  <si>
    <t>998725201R00</t>
  </si>
  <si>
    <t>Trubka pro připojení WC, HL202G, D 110 mm</t>
  </si>
  <si>
    <t>Přesun hmot pro obklady keramické, výšky do 6 m</t>
  </si>
  <si>
    <t>Dodávka</t>
  </si>
  <si>
    <t>721194105R00</t>
  </si>
  <si>
    <t>NUS celkem z obj.</t>
  </si>
  <si>
    <t>Kabel CYKY 750 V 3x2,5 mm2 uložený pod omítkou - včetně dodávky kabelu</t>
  </si>
  <si>
    <t>Vyvedení odpadních výpustek D 110 x 2,3</t>
  </si>
  <si>
    <t>Městské zařízení sociálních služeb Karlovy Vary, p</t>
  </si>
  <si>
    <t>3_</t>
  </si>
  <si>
    <t>Přesun a výpomoce</t>
  </si>
  <si>
    <t>Náklady (Kč) - celkem</t>
  </si>
  <si>
    <t>711</t>
  </si>
  <si>
    <t>72_</t>
  </si>
  <si>
    <t>953942421R00</t>
  </si>
  <si>
    <t>728411111R00</t>
  </si>
  <si>
    <t>725610810R00</t>
  </si>
  <si>
    <t>Název stavby:</t>
  </si>
  <si>
    <t>Montáž klapky plechové kruhové do d 100 mm vč. klapky</t>
  </si>
  <si>
    <t>Ostatní materiál</t>
  </si>
  <si>
    <t>725015231R00</t>
  </si>
  <si>
    <t>48</t>
  </si>
  <si>
    <t>29</t>
  </si>
  <si>
    <t>Č</t>
  </si>
  <si>
    <t>Zástěna sprchová posuvná 100 cm</t>
  </si>
  <si>
    <t>210201211R00</t>
  </si>
  <si>
    <t>Poznámka:</t>
  </si>
  <si>
    <t>979990111R00</t>
  </si>
  <si>
    <t>Lokalita:</t>
  </si>
  <si>
    <t>79</t>
  </si>
  <si>
    <t>71</t>
  </si>
  <si>
    <t>210120823R00</t>
  </si>
  <si>
    <t>16</t>
  </si>
  <si>
    <t>PSV</t>
  </si>
  <si>
    <t>24</t>
  </si>
  <si>
    <t>Bez pevné podl.</t>
  </si>
  <si>
    <t>Malba , bílá, bez penetrace, 2 x</t>
  </si>
  <si>
    <t>Celkem</t>
  </si>
  <si>
    <t>Hzs-revize provoz.souboru a st.obj.</t>
  </si>
  <si>
    <t>Zařízení staveniště</t>
  </si>
  <si>
    <t>Zámek stavební obyčejný typ  (60 mm) L</t>
  </si>
  <si>
    <t>771575107RT1</t>
  </si>
  <si>
    <t>Přesun hmot pro podlahy povlakové, výšky do 6 m</t>
  </si>
  <si>
    <t>Přesun hmot pro vnitřní kanalizaci, výšky do 6 m</t>
  </si>
  <si>
    <t>766_</t>
  </si>
  <si>
    <t>soub</t>
  </si>
  <si>
    <t>Potrubí z PPR, D 20x2,8 mm, PN 16, vč.zed.výpom.</t>
  </si>
  <si>
    <t>4</t>
  </si>
  <si>
    <t>97</t>
  </si>
  <si>
    <t>121</t>
  </si>
  <si>
    <t>94</t>
  </si>
  <si>
    <t>Dlaždice 20x20</t>
  </si>
  <si>
    <t>Montáž  sporáků</t>
  </si>
  <si>
    <t>Odvíč./zavíčkování krabic - víčko na závit</t>
  </si>
  <si>
    <t>210800115RT1</t>
  </si>
  <si>
    <t>60</t>
  </si>
  <si>
    <t>Základní rozpočtové náklady</t>
  </si>
  <si>
    <t>26</t>
  </si>
  <si>
    <t>6_</t>
  </si>
  <si>
    <t>105</t>
  </si>
  <si>
    <t>728212411R00</t>
  </si>
  <si>
    <t>135</t>
  </si>
  <si>
    <t>;m 01 ;  3,45*6,0 + (3,45+6,30)*2*2,68</t>
  </si>
  <si>
    <t>Celkem bez DPH</t>
  </si>
  <si>
    <t>122</t>
  </si>
  <si>
    <t>Demontáž rozvodů vody z plastů do D 32</t>
  </si>
  <si>
    <t>725823111RT0</t>
  </si>
  <si>
    <t>2,68*3</t>
  </si>
  <si>
    <t>Ing Jan Hruška, Josefa Lady 199, K.Vary-Olšová Vra</t>
  </si>
  <si>
    <t>M21</t>
  </si>
  <si>
    <t>721_</t>
  </si>
  <si>
    <t>Penetrace podkladu hloubková  1x</t>
  </si>
  <si>
    <t>998721201R00</t>
  </si>
  <si>
    <t>210192552R00</t>
  </si>
  <si>
    <t>722290234R00</t>
  </si>
  <si>
    <t>6</t>
  </si>
  <si>
    <t>Rozpočtové náklady v Kč</t>
  </si>
  <si>
    <t>68</t>
  </si>
  <si>
    <t>Propojení plastového potrubí polyf.D 20 mm,vodovod</t>
  </si>
  <si>
    <t>81</t>
  </si>
  <si>
    <t>979990101R00</t>
  </si>
  <si>
    <t>Baterie umyvadlová stoján. ruční, bez otvír.odpadu</t>
  </si>
  <si>
    <t>(2,175+1,615)*2*2+2,0*8</t>
  </si>
  <si>
    <t>Přesun hmot pro opravy a údržbu do výšky 6 m</t>
  </si>
  <si>
    <t>Sprchová souprava s mýdlenkou, posuvný držák, chrom (nastavitelná rozteč) 11444</t>
  </si>
  <si>
    <t>Dveře vnitřní CPL 0,2  plné 1kř. 60x197 cm</t>
  </si>
  <si>
    <t>342948112R00</t>
  </si>
  <si>
    <t>210800105RT1</t>
  </si>
  <si>
    <t>B</t>
  </si>
  <si>
    <t>119</t>
  </si>
  <si>
    <t>Náklady na umístění stavby (NUS)</t>
  </si>
  <si>
    <t>(1,0+0,8)*2*0,15    ;   vanička</t>
  </si>
  <si>
    <t>42</t>
  </si>
  <si>
    <t>210010521R00</t>
  </si>
  <si>
    <t>82</t>
  </si>
  <si>
    <t>Montáž</t>
  </si>
  <si>
    <t>Datum, razítko a podpis</t>
  </si>
  <si>
    <t>Dveře vnitřní CPL 0,2  plné 1kř. 80x197 cm</t>
  </si>
  <si>
    <t>776_</t>
  </si>
  <si>
    <t>ZRN celkem</t>
  </si>
  <si>
    <t>Volek S</t>
  </si>
  <si>
    <t>721171803R00</t>
  </si>
  <si>
    <t>722181211RT7</t>
  </si>
  <si>
    <t>999281105R00</t>
  </si>
  <si>
    <t>69</t>
  </si>
  <si>
    <t>7,5*6,45</t>
  </si>
  <si>
    <t>Oprava - propojení dosavadního potrubí PVC D 110</t>
  </si>
  <si>
    <t>000 0VD</t>
  </si>
  <si>
    <t>965081713RT1</t>
  </si>
  <si>
    <t>33</t>
  </si>
  <si>
    <t>3,45*6,0*2</t>
  </si>
  <si>
    <t>Omítky ze suchých směsí</t>
  </si>
  <si>
    <t>DPH 15%</t>
  </si>
  <si>
    <t>Demontáž ventilu výtokového nástěnného</t>
  </si>
  <si>
    <t>78</t>
  </si>
  <si>
    <t>Montáž obkladů stěn, porovin.,tmel, 20x20,30x15 cm</t>
  </si>
  <si>
    <t>Krycí list slepého rozpočtu</t>
  </si>
  <si>
    <t>120</t>
  </si>
  <si>
    <t>63</t>
  </si>
  <si>
    <t>Vysekání rýh ve zdi cihelné 3 x 7 cm</t>
  </si>
  <si>
    <t>776521100RU2</t>
  </si>
  <si>
    <t>783_</t>
  </si>
  <si>
    <t>Stěny a příčky</t>
  </si>
  <si>
    <t>Demontáž klozetů splachovacích</t>
  </si>
  <si>
    <t>974049122R00</t>
  </si>
  <si>
    <t>77_</t>
  </si>
  <si>
    <t>Obkládačka 20x25 světle lesk</t>
  </si>
  <si>
    <t>721194109R00</t>
  </si>
  <si>
    <t>25</t>
  </si>
  <si>
    <t>kus</t>
  </si>
  <si>
    <t>Chránič proudový dvoupólový do 40 A</t>
  </si>
  <si>
    <t>54964011</t>
  </si>
  <si>
    <t>Dodávky</t>
  </si>
  <si>
    <t>soustava</t>
  </si>
  <si>
    <t>Úprava rozvodů vodovodu a kanalizace, vč. propojení</t>
  </si>
  <si>
    <t>Ostatní mat.</t>
  </si>
  <si>
    <t>784191201R00</t>
  </si>
  <si>
    <t>941955001R00</t>
  </si>
  <si>
    <t>130</t>
  </si>
  <si>
    <t>781497111R00</t>
  </si>
  <si>
    <t>Ventil rohový bez přípoj. trubičky TE 66 G 1/2</t>
  </si>
  <si>
    <t>Cenová</t>
  </si>
  <si>
    <t>210010527RT2</t>
  </si>
  <si>
    <t>133</t>
  </si>
  <si>
    <t>726211121R00</t>
  </si>
  <si>
    <t>Revize</t>
  </si>
  <si>
    <t>HSV prac</t>
  </si>
  <si>
    <t>129</t>
  </si>
  <si>
    <t>Elektroinstalace</t>
  </si>
  <si>
    <t>Omítka rýh stěn vápenná šířky do 15 cm, štuková</t>
  </si>
  <si>
    <t>;m 03  ;  1,275*1,615+1,0*0,85) + (1,615+2,175)*2*(2,68-2,0)+4,0</t>
  </si>
  <si>
    <t>13</t>
  </si>
  <si>
    <t>Montáž podlah keram.,režné hladké, tmel, 20x20 cm</t>
  </si>
  <si>
    <t>725017161R00</t>
  </si>
  <si>
    <t>Montáž třífázové propojovací lišty Z-GV 16/iP 3TE</t>
  </si>
  <si>
    <t>Spínač nástěnný jednopól.- řaz. 1, obyč.prostředí - včetně dodávky spínače</t>
  </si>
  <si>
    <t>210 11VD</t>
  </si>
  <si>
    <t>"M"</t>
  </si>
  <si>
    <t xml:space="preserve">
</t>
  </si>
  <si>
    <t>4,31*3,45+1,67*1,25 + 3,45*6,0   ;  m 02+0,3 + 01</t>
  </si>
  <si>
    <t>Vyčištění budov o výšce podlaží do 4 m</t>
  </si>
  <si>
    <t>Cena/MJ</t>
  </si>
  <si>
    <t>Konec výstavby:</t>
  </si>
  <si>
    <t>721171808R00</t>
  </si>
  <si>
    <t>Držák na toaletní papír nerezový</t>
  </si>
  <si>
    <t>127</t>
  </si>
  <si>
    <t>Kód</t>
  </si>
  <si>
    <t>S</t>
  </si>
  <si>
    <t>43</t>
  </si>
  <si>
    <t>725249102R00</t>
  </si>
  <si>
    <t>Zásuvka domovní zapuštěná - provedení 2x (2P+PE) - včetně dodávky zásuvky a rámečku</t>
  </si>
  <si>
    <t>725619101R00</t>
  </si>
  <si>
    <t>998776201R00</t>
  </si>
  <si>
    <t>Hydroizolační stěrka jednovrstvá pod obklady</t>
  </si>
  <si>
    <t>Cylindrická vložka oboustranná  29+40 mm</t>
  </si>
  <si>
    <t>Ostatní přesuny hmot</t>
  </si>
  <si>
    <t>Lešení lehké pomocné, výška podlahy do 1,2 m</t>
  </si>
  <si>
    <t>soubor</t>
  </si>
  <si>
    <t>MJ</t>
  </si>
  <si>
    <t>45</t>
  </si>
  <si>
    <t>40</t>
  </si>
  <si>
    <t>Montáž vyústě linearní podhledové do 0,1 m2</t>
  </si>
  <si>
    <t>Lepení podlahových soklíků z PVC a vinylu - včetně dodávky soklíku PVC</t>
  </si>
  <si>
    <t>9_</t>
  </si>
  <si>
    <t>Doplňkové náklady</t>
  </si>
  <si>
    <t>132</t>
  </si>
  <si>
    <t>Poplatek za uložení suti - dřevo+sklo, skupina odpadu 170904</t>
  </si>
  <si>
    <t>612421626R00</t>
  </si>
  <si>
    <t>PSV prac</t>
  </si>
  <si>
    <t>HSV</t>
  </si>
  <si>
    <t>(0,0193+0,6329+0,0092+0,0031+0,0005)*16   ;   ZTI</t>
  </si>
  <si>
    <t>RTS I / 2022</t>
  </si>
  <si>
    <t>9</t>
  </si>
  <si>
    <t>Vysekání rýh v betonových zdech 3x7 cm</t>
  </si>
  <si>
    <t>(0,6+0,4)*2,68 + 0,6*2*2,68   ;  za skříněmi</t>
  </si>
  <si>
    <t>2,25*0,8   ;   m 02</t>
  </si>
  <si>
    <t>Bourání dlažeb keramických tl.10 mm, nad 1 m2</t>
  </si>
  <si>
    <t>104</t>
  </si>
  <si>
    <t>Montáž dveří do zárubně,otevíravých 1kř.nad 0,8 m</t>
  </si>
  <si>
    <t>Lišta elektroinstalační PVC š.do 40 mm,šroubováním</t>
  </si>
  <si>
    <t>15</t>
  </si>
  <si>
    <t>978059531R00</t>
  </si>
  <si>
    <t>95</t>
  </si>
  <si>
    <t>ISWORK</t>
  </si>
  <si>
    <t>Celkem včetně DPH</t>
  </si>
  <si>
    <t>Izolace návleková MIRELON PRO tl. stěny 6 mm</t>
  </si>
  <si>
    <t>776421100RU1</t>
  </si>
  <si>
    <t>210120803R00</t>
  </si>
  <si>
    <t>Základ 0%</t>
  </si>
  <si>
    <t>S_</t>
  </si>
  <si>
    <t>721176103R00</t>
  </si>
  <si>
    <t>725810811R00</t>
  </si>
  <si>
    <t>766</t>
  </si>
  <si>
    <t>52</t>
  </si>
  <si>
    <t>118</t>
  </si>
  <si>
    <t>Lišta elektroinstalační PVC š.do 80 mm,šroubováním</t>
  </si>
  <si>
    <t>Vodorovné přemístění vyb. hmot nošením do 10 m</t>
  </si>
  <si>
    <t>0,4974*16    ;  KO TR</t>
  </si>
  <si>
    <t>51</t>
  </si>
  <si>
    <t>Kliky se štítem dveř.  804 /90 Cr</t>
  </si>
  <si>
    <t>Přesuny sutí</t>
  </si>
  <si>
    <t>(4,31+3,45+1,67)*2 + (3,45+6,0)*2   ;  m 02+0,3 + 01</t>
  </si>
  <si>
    <t>Mont prac</t>
  </si>
  <si>
    <t>Montáž přechodu plechového čtyřhranného do 0,03 m2 - napojení na stávající rozvod, vč materiáluz</t>
  </si>
  <si>
    <t>Obklady (keramické)</t>
  </si>
  <si>
    <t>44</t>
  </si>
  <si>
    <t>721176105R00</t>
  </si>
  <si>
    <t>78_</t>
  </si>
  <si>
    <t>h</t>
  </si>
  <si>
    <t>Demontáž potrubí plastového 4hranného do 0,07 m2</t>
  </si>
  <si>
    <t>23</t>
  </si>
  <si>
    <t>Kabel CYKY 750 V 5x1,5 mm2 uložený pod omítkou - včetně dodávky kabelu</t>
  </si>
  <si>
    <t>725_</t>
  </si>
  <si>
    <t>781_</t>
  </si>
  <si>
    <t>Bidet závěsný , bílý, 1 otvor pro baterii</t>
  </si>
  <si>
    <t>55484439.A</t>
  </si>
  <si>
    <t>128</t>
  </si>
  <si>
    <t>210010106R00</t>
  </si>
  <si>
    <t>59</t>
  </si>
  <si>
    <t>109</t>
  </si>
  <si>
    <t>t</t>
  </si>
  <si>
    <t>117</t>
  </si>
  <si>
    <t> </t>
  </si>
  <si>
    <t>53</t>
  </si>
  <si>
    <t>Zkouška tlaku potrubí závitového DN 50</t>
  </si>
  <si>
    <t>Konstrukce truhlářské</t>
  </si>
  <si>
    <t>99</t>
  </si>
  <si>
    <t>Záslepka rozvaděče</t>
  </si>
  <si>
    <t>107</t>
  </si>
  <si>
    <t>Nástěnka K 247, pro baterii G 1/2</t>
  </si>
  <si>
    <t>125</t>
  </si>
  <si>
    <t>210201511R00</t>
  </si>
  <si>
    <t>722220121R00</t>
  </si>
  <si>
    <t>210800013R00</t>
  </si>
  <si>
    <t>JKSO:</t>
  </si>
  <si>
    <t>85</t>
  </si>
  <si>
    <t>64</t>
  </si>
  <si>
    <t>Demontáž stávajících rozvodů elektroinstalace</t>
  </si>
  <si>
    <t>Náklady (Kč) - dodávka</t>
  </si>
  <si>
    <t>429851031</t>
  </si>
  <si>
    <t>721170965R00</t>
  </si>
  <si>
    <t>Vyrovnání podkladů samonivel. hmotou tl. do 10 mm</t>
  </si>
  <si>
    <t>210010002RU2</t>
  </si>
  <si>
    <t>(2,175+1,615)*2*(2,65-2,0)+(0,54+0,825)*2*2,68-0,475*1,0   ;  m 03</t>
  </si>
  <si>
    <t>77</t>
  </si>
  <si>
    <t>766661122R00</t>
  </si>
  <si>
    <t>DN celkem</t>
  </si>
  <si>
    <t>H99_</t>
  </si>
  <si>
    <t>728614212R00</t>
  </si>
  <si>
    <t>116</t>
  </si>
  <si>
    <t>GROUPCODE</t>
  </si>
  <si>
    <t>781415015RT1</t>
  </si>
  <si>
    <t>Poplatek za uložení suti - stavební keramika, skupina odpadu 170103</t>
  </si>
  <si>
    <t>0</t>
  </si>
  <si>
    <t>Provozní vlivy</t>
  </si>
  <si>
    <t>5</t>
  </si>
  <si>
    <t>54914594</t>
  </si>
  <si>
    <t>76_</t>
  </si>
  <si>
    <t>Přesun hmot pro vnitřní vodovod, výšky do 6 m</t>
  </si>
  <si>
    <t>Montáž ventilátoru do 1,5 kW</t>
  </si>
  <si>
    <t>Chránič proudový čtyřpólový do 40 A</t>
  </si>
  <si>
    <t>Štuk na stěnách vnitřní , ručně</t>
  </si>
  <si>
    <t>720 02VD</t>
  </si>
  <si>
    <t>Druh stavby:</t>
  </si>
  <si>
    <t>711212601R00</t>
  </si>
  <si>
    <t>Penetrace podkladu pod obklady</t>
  </si>
  <si>
    <t>0,4918   ;   suť</t>
  </si>
  <si>
    <t>210800116R00</t>
  </si>
  <si>
    <t>979990162R00</t>
  </si>
  <si>
    <t>Krabice univerzální KU, bez zapojení, kruhová - včetně dodávky KU 68-1902 s víčkem</t>
  </si>
  <si>
    <t>771101115R00</t>
  </si>
  <si>
    <t>Demontáž dřevěných stěn plných</t>
  </si>
  <si>
    <t>784</t>
  </si>
  <si>
    <t>96</t>
  </si>
  <si>
    <t>Svítidlo LED bytové stropní přisazené</t>
  </si>
  <si>
    <t>Zpracováno dne:</t>
  </si>
  <si>
    <t>728</t>
  </si>
  <si>
    <t>781101141R00</t>
  </si>
  <si>
    <t>783</t>
  </si>
  <si>
    <t>611601203</t>
  </si>
  <si>
    <t>RTS II / 2021</t>
  </si>
  <si>
    <t>612403382R00</t>
  </si>
  <si>
    <t>0,4918*16   ;   suť</t>
  </si>
  <si>
    <t>Trubka ohebná pod omítku, vnější průměr 20 mm</t>
  </si>
  <si>
    <t>10</t>
  </si>
  <si>
    <t>721171219R00</t>
  </si>
  <si>
    <t>58</t>
  </si>
  <si>
    <t>36</t>
  </si>
  <si>
    <t>Demontáž ocelové vany</t>
  </si>
  <si>
    <t>Vyvedení odpadních výpustek D 50 x 1,8</t>
  </si>
  <si>
    <t>14</t>
  </si>
  <si>
    <t>31</t>
  </si>
  <si>
    <t>Zařizovací předměty</t>
  </si>
  <si>
    <t>84</t>
  </si>
  <si>
    <t>(0,0193+0,6329+0,0092+0,0031+0,0005)   ;   ZTI</t>
  </si>
  <si>
    <t>Množství</t>
  </si>
  <si>
    <t>998771201R00</t>
  </si>
  <si>
    <t>38</t>
  </si>
  <si>
    <t>2,25*(2,68-2,0)+1,69*2,98-0,6*1,97   ;  m 02</t>
  </si>
  <si>
    <t>95_</t>
  </si>
  <si>
    <t>722290226R00</t>
  </si>
  <si>
    <t>Vnitřní vodovod</t>
  </si>
  <si>
    <t>Typ skupiny</t>
  </si>
  <si>
    <t>73</t>
  </si>
  <si>
    <t>979087392R00</t>
  </si>
  <si>
    <t>725292035R00</t>
  </si>
  <si>
    <t>Hrubá výplň rýh ve stěnách do 5x5 cm maltou ze SMS</t>
  </si>
  <si>
    <t>61_</t>
  </si>
  <si>
    <t>56</t>
  </si>
  <si>
    <t>722_</t>
  </si>
  <si>
    <t>19</t>
  </si>
  <si>
    <t>C</t>
  </si>
  <si>
    <t>54926060</t>
  </si>
  <si>
    <t>(1,0+2,175)*2,0</t>
  </si>
  <si>
    <t>Náklady (Kč)</t>
  </si>
  <si>
    <t>1,275*1,3</t>
  </si>
  <si>
    <t>Demontáž soklíků nebo lišt, pryžových nebo z PVC</t>
  </si>
  <si>
    <t>721</t>
  </si>
  <si>
    <t>110</t>
  </si>
  <si>
    <t>Ukotvení příček k beton.kcím přistřelenými kotvami</t>
  </si>
  <si>
    <t>39</t>
  </si>
  <si>
    <t>30</t>
  </si>
  <si>
    <t>Montáž dveří do zárubně,otevíravých 1kř.do 0,8 m</t>
  </si>
  <si>
    <t>IČO/DIČ:</t>
  </si>
  <si>
    <t>776511810R00</t>
  </si>
  <si>
    <t>210010105R00</t>
  </si>
  <si>
    <t>hod</t>
  </si>
  <si>
    <t>776401800R00</t>
  </si>
  <si>
    <t>Ostatní</t>
  </si>
  <si>
    <t>210110001RT2</t>
  </si>
  <si>
    <t>86</t>
  </si>
  <si>
    <t>55</t>
  </si>
  <si>
    <t>Podlahy povlakové</t>
  </si>
  <si>
    <t>Zpracoval:</t>
  </si>
  <si>
    <t>Omítka vnitřní zdiva, MVC, hladká</t>
  </si>
  <si>
    <t>76</t>
  </si>
  <si>
    <t>553476544</t>
  </si>
  <si>
    <t>Zhotovitel</t>
  </si>
  <si>
    <t>Demontáž potrubí z PVC do D 75 mm</t>
  </si>
  <si>
    <t>0,87*1,18+1,242*1,59</t>
  </si>
  <si>
    <t>2</t>
  </si>
  <si>
    <t>Projektant:</t>
  </si>
  <si>
    <t>ORN celkem</t>
  </si>
  <si>
    <t>Montáž a připojení svorkovnice včetně dodávky svorkovnice S - 66</t>
  </si>
  <si>
    <t>602016193R00</t>
  </si>
  <si>
    <t>Montáž jednofázové propojovací lišty Z-GV 16/iP 1TE</t>
  </si>
  <si>
    <t/>
  </si>
  <si>
    <t>Modul pro WC , h 108 cm</t>
  </si>
  <si>
    <t>17</t>
  </si>
  <si>
    <t>3,45*4,31+1,69*1,2 + 3,45*6,0   ;  m 02 + 01</t>
  </si>
  <si>
    <t>210800106RT1</t>
  </si>
  <si>
    <t>3,148*1,02</t>
  </si>
  <si>
    <t>98</t>
  </si>
  <si>
    <t>112</t>
  </si>
  <si>
    <t>Lešení a stavební výtahy</t>
  </si>
  <si>
    <t>21</t>
  </si>
  <si>
    <t>Omítka vnitřní zdiva, MVC, štuková</t>
  </si>
  <si>
    <t>34_</t>
  </si>
  <si>
    <t>Nakládání nebo překládání suti a vybouraných hmot</t>
  </si>
  <si>
    <t>998711201R00</t>
  </si>
  <si>
    <t>54926001</t>
  </si>
  <si>
    <t>Úprava povrchů vnitřní</t>
  </si>
  <si>
    <t>Práce přesčas</t>
  </si>
  <si>
    <t>230 10VD</t>
  </si>
  <si>
    <t>61</t>
  </si>
  <si>
    <t>Prověření stávajícího stavu rovodů. napojovací body a j.</t>
  </si>
  <si>
    <t>Demontáž  sporáku</t>
  </si>
  <si>
    <t>126</t>
  </si>
  <si>
    <t>124</t>
  </si>
  <si>
    <t>12</t>
  </si>
  <si>
    <t>Kabel CYKY 750 V 3x1,5 mm2 uložený pod omítkou - včetně dodávky kabelu</t>
  </si>
  <si>
    <t>Kulturní památka</t>
  </si>
  <si>
    <t>Objekt</t>
  </si>
  <si>
    <t>Různé dokončovací konstrukce a práce na pozemních stavbách</t>
  </si>
  <si>
    <t>Bourání konstrukcí</t>
  </si>
  <si>
    <t>Svítidlo zářivkové přisazené, 1 zdroj</t>
  </si>
  <si>
    <t>2,2*2+1,7*2+1,1</t>
  </si>
  <si>
    <t>STAVEBNÍ ÚPRAVY, 1. NP, SZ STRANA - MODULY 01-03 / A-B</t>
  </si>
  <si>
    <t>DPH 21%</t>
  </si>
  <si>
    <t>968061125R00</t>
  </si>
  <si>
    <t>134</t>
  </si>
  <si>
    <t>722170801R00</t>
  </si>
  <si>
    <t>_</t>
  </si>
  <si>
    <t>Demontáž potrubí z PVC do D 114 mm</t>
  </si>
  <si>
    <t>ORN celkem z obj.</t>
  </si>
  <si>
    <t>766111820R00</t>
  </si>
  <si>
    <t>Přesun hmot pro podlahy z dlaždic, výšky do 6 m</t>
  </si>
  <si>
    <t>781101210R00</t>
  </si>
  <si>
    <t>49</t>
  </si>
  <si>
    <t>72</t>
  </si>
  <si>
    <t>Přesuny</t>
  </si>
  <si>
    <t>979086112R00</t>
  </si>
  <si>
    <t>MAT</t>
  </si>
  <si>
    <t>Přesun hmot pro izolace proti vodě, výšky do 6 m</t>
  </si>
  <si>
    <t>70</t>
  </si>
  <si>
    <t>776</t>
  </si>
  <si>
    <t>2,175*1,615-0,54*0,675</t>
  </si>
  <si>
    <t>8</t>
  </si>
  <si>
    <t>722172912R00</t>
  </si>
  <si>
    <t>Celkem:</t>
  </si>
  <si>
    <t>Mimostav. doprava</t>
  </si>
  <si>
    <t>Nátěry</t>
  </si>
  <si>
    <t>Baterie sprchová nástěnná ruční, bez příslušenství</t>
  </si>
  <si>
    <t>18</t>
  </si>
  <si>
    <t>DN celkem z obj.</t>
  </si>
  <si>
    <t>Přesun hmot pro truhlářské konstr., výšky do 6 m</t>
  </si>
  <si>
    <t>597813664</t>
  </si>
  <si>
    <t>(6,0+3,45)*2 + (3,45+6,0)*2   ;  m 02+0,3 + 01</t>
  </si>
  <si>
    <t>Vodič uložený v trubkách CYY 4 mm2</t>
  </si>
  <si>
    <t>46</t>
  </si>
  <si>
    <t>781</t>
  </si>
  <si>
    <t>728_</t>
  </si>
  <si>
    <t>Potrubí HT připojovací D 50 x 1,8 mm</t>
  </si>
  <si>
    <t>429148012</t>
  </si>
  <si>
    <t>71_</t>
  </si>
  <si>
    <t>Proplach a dezinfekce vodovod.potrubí DN 80</t>
  </si>
  <si>
    <t>722172311R00</t>
  </si>
  <si>
    <t>Nátěr olejový kovových konstrukcí 2x + 1x email</t>
  </si>
  <si>
    <t>Madlo dvojité sklopné nerez Novaservis dl. 852 mm</t>
  </si>
  <si>
    <t>100</t>
  </si>
  <si>
    <t>108</t>
  </si>
  <si>
    <t>Příplatek k přesunu suti za každých dalších 1000 m</t>
  </si>
  <si>
    <t>50</t>
  </si>
  <si>
    <t>998722201R00</t>
  </si>
  <si>
    <t>m</t>
  </si>
  <si>
    <t>Slepý stavební rozpočet - rekapitulace</t>
  </si>
  <si>
    <t>11</t>
  </si>
  <si>
    <t>;m 02  ; 3,45*4,31+1,6*1,2 + (3,45+6,0)*2*2,68</t>
  </si>
  <si>
    <t>RTS II / 2022</t>
  </si>
  <si>
    <t>32</t>
  </si>
  <si>
    <t>979082119R00</t>
  </si>
  <si>
    <t>Umyvadlo na šrouby  , 50 x 41 cm, bílé</t>
  </si>
  <si>
    <t>Objednatel:</t>
  </si>
  <si>
    <t>60_</t>
  </si>
  <si>
    <t>998766201R00</t>
  </si>
  <si>
    <t>PSV mat</t>
  </si>
  <si>
    <t>Penetrace hloubková stěn</t>
  </si>
  <si>
    <t>998781201R00</t>
  </si>
  <si>
    <t>210111131R00</t>
  </si>
  <si>
    <t>3</t>
  </si>
  <si>
    <t>711_</t>
  </si>
  <si>
    <t>725291146R00</t>
  </si>
  <si>
    <t>Těsnicí pás do spoje podlaha - stěna  š. 120 mm</t>
  </si>
  <si>
    <t>102</t>
  </si>
  <si>
    <t>611601204</t>
  </si>
  <si>
    <t>Zhotovitel:</t>
  </si>
  <si>
    <t>%</t>
  </si>
  <si>
    <t>Podlahy z dlaždic</t>
  </si>
  <si>
    <t>96_</t>
  </si>
  <si>
    <t>952901111R00</t>
  </si>
  <si>
    <t>54914590</t>
  </si>
  <si>
    <t>Příslušenství k dřezu v kuchyňské sestavě</t>
  </si>
  <si>
    <t>784_</t>
  </si>
  <si>
    <t>35</t>
  </si>
  <si>
    <t>Začátek výstavby:</t>
  </si>
  <si>
    <t>803</t>
  </si>
  <si>
    <t>A</t>
  </si>
  <si>
    <t>Zámek zadlabací vložk. bezp.  P/L</t>
  </si>
  <si>
    <t>Mont mat</t>
  </si>
  <si>
    <t>722</t>
  </si>
  <si>
    <t>Slepý stavební rozpočet</t>
  </si>
  <si>
    <t>93</t>
  </si>
  <si>
    <t>101</t>
  </si>
  <si>
    <t>09.12.2021</t>
  </si>
  <si>
    <t>75</t>
  </si>
  <si>
    <t>RT 2143-22</t>
  </si>
  <si>
    <t>54</t>
  </si>
  <si>
    <t>Potrubí plastové hranaté  VP 90x220/1000 HP</t>
  </si>
  <si>
    <t xml:space="preserve"> </t>
  </si>
  <si>
    <t>210192551R00</t>
  </si>
  <si>
    <t>210290751R00</t>
  </si>
  <si>
    <t>136</t>
  </si>
  <si>
    <t>Drobné nepostihnutelné práce a dodávka</t>
  </si>
  <si>
    <t>Montáž sprchových mís a vaniček</t>
  </si>
  <si>
    <t>Lišta PVC ukončovacích i rohová k obkladům</t>
  </si>
  <si>
    <t>123</t>
  </si>
  <si>
    <t>551 05VD</t>
  </si>
  <si>
    <t>342254511R00</t>
  </si>
  <si>
    <t>Objednatel</t>
  </si>
  <si>
    <t>57</t>
  </si>
  <si>
    <t>(Kč)</t>
  </si>
  <si>
    <t>1,0978+0,0211+1,6936+0,0501+0,0333</t>
  </si>
  <si>
    <t>20,0*0,15   ;  po instalacích</t>
  </si>
  <si>
    <t>Kliky se štítem mezip  s ukazatelem 804 bílé</t>
  </si>
  <si>
    <t>22</t>
  </si>
  <si>
    <t>Příplatek za malý rozsah do 20 m rozvodu</t>
  </si>
  <si>
    <t>210111014RT2</t>
  </si>
  <si>
    <t>115</t>
  </si>
  <si>
    <t>Odstranění PVC a koberců lepených bez podložky</t>
  </si>
  <si>
    <t>Územní vlivy</t>
  </si>
  <si>
    <t>Vyvěšení dřevěných dveřních křídel pl. do 2 m2</t>
  </si>
  <si>
    <t>725</t>
  </si>
  <si>
    <t>T</t>
  </si>
  <si>
    <t>Datum:</t>
  </si>
  <si>
    <t>27</t>
  </si>
  <si>
    <t>597623122</t>
  </si>
  <si>
    <t>37</t>
  </si>
  <si>
    <t>80</t>
  </si>
  <si>
    <t>m2</t>
  </si>
  <si>
    <t>41</t>
  </si>
  <si>
    <t>Přesun hmot a sutí</t>
  </si>
  <si>
    <t>NUS z rozpočtu</t>
  </si>
  <si>
    <t>Ventilátor axiální do koupelny VENTS 100SL</t>
  </si>
  <si>
    <t>1</t>
  </si>
  <si>
    <t>0,4974    ;  KO TR</t>
  </si>
  <si>
    <t>7</t>
  </si>
  <si>
    <t>Vodorovná doprava suti po suchu do 1000 m</t>
  </si>
  <si>
    <t>Rozměry</t>
  </si>
  <si>
    <t>(2,175+1,615)*2</t>
  </si>
  <si>
    <t>Potrubí HT připojovací D 110 x 2,7 mm</t>
  </si>
  <si>
    <t>979082113R00</t>
  </si>
  <si>
    <t>74</t>
  </si>
  <si>
    <t>Položek:</t>
  </si>
  <si>
    <t>NUS celkem</t>
  </si>
  <si>
    <t>WORK</t>
  </si>
  <si>
    <t>131</t>
  </si>
  <si>
    <t>612421637R00</t>
  </si>
  <si>
    <t>83</t>
  </si>
  <si>
    <t>771_</t>
  </si>
  <si>
    <t>Osazení ocelového rámu velikosti do 1000 x 1000 mm - nerez dvířka</t>
  </si>
  <si>
    <t>210192721R00</t>
  </si>
  <si>
    <t>114</t>
  </si>
  <si>
    <t>Kabel CYKY 750 V 5x2,5 mm2 uložený pod omítkou - včetně dodávky kabelu</t>
  </si>
  <si>
    <t>47</t>
  </si>
  <si>
    <t>728211212R00</t>
  </si>
  <si>
    <t>(2,25+1,615+0,675+0,55)*2,68-0,6*1,97-0,475*1,0</t>
  </si>
  <si>
    <t>210010311RT1</t>
  </si>
  <si>
    <t>210 12VD</t>
  </si>
  <si>
    <t>HSV mat</t>
  </si>
  <si>
    <t>M21_</t>
  </si>
  <si>
    <t>20,0   ;  po instalacích</t>
  </si>
  <si>
    <t>66</t>
  </si>
  <si>
    <t>725110811R00</t>
  </si>
  <si>
    <t>Dvířka revizní  475x1000 cm, nerez</t>
  </si>
  <si>
    <t>979087312R00</t>
  </si>
  <si>
    <t>Vzduchotechnika</t>
  </si>
  <si>
    <t>725220841R00</t>
  </si>
  <si>
    <t>H99</t>
  </si>
  <si>
    <t>Příčky z desek pórobetonových tl. 75 mm</t>
  </si>
  <si>
    <t>90</t>
  </si>
  <si>
    <t>89</t>
  </si>
  <si>
    <t>974031122R00</t>
  </si>
  <si>
    <t>711212002RT1</t>
  </si>
  <si>
    <t>725810402R00</t>
  </si>
  <si>
    <t>722179191R00</t>
  </si>
  <si>
    <t>88</t>
  </si>
  <si>
    <t>Příčky z desek pórobetonových tl. 150 mm</t>
  </si>
  <si>
    <t>728113813R00</t>
  </si>
  <si>
    <t>Zásuvka průmyslová IP 44  2P+PE  16 A</t>
  </si>
  <si>
    <t>Zkrácený popis</t>
  </si>
  <si>
    <t>(3,45*2+1,59*2+0,87)*2,68   ;  stávající jádro</t>
  </si>
  <si>
    <t>28</t>
  </si>
  <si>
    <t>111</t>
  </si>
  <si>
    <t>220890202R00</t>
  </si>
  <si>
    <t>342254811R00</t>
  </si>
  <si>
    <t>Poplatek za uložení směsi betonu a cihel skupina 170101 a 170102</t>
  </si>
  <si>
    <t>Mtž ventilátoru axiál. nízkotl. potrub. do d 200mm</t>
  </si>
  <si>
    <t>Hydroizolační povlak - nátěr nebo stěrka - ,proti vlhkosti, tl. 2mm)</t>
  </si>
  <si>
    <t>725314290R00</t>
  </si>
  <si>
    <t>602011141R00</t>
  </si>
  <si>
    <t>Obezdívky van a WC nádržek z desek Ytong tl. 75 mm</t>
  </si>
  <si>
    <t>771</t>
  </si>
  <si>
    <t>CELK</t>
  </si>
  <si>
    <t>113</t>
  </si>
  <si>
    <t>Přesun hmot pro zařizovací předměty, výšky do 6 m</t>
  </si>
  <si>
    <t>106</t>
  </si>
  <si>
    <t>94_</t>
  </si>
  <si>
    <t>784195212R00</t>
  </si>
  <si>
    <t>725845111RT1</t>
  </si>
  <si>
    <t>65</t>
  </si>
  <si>
    <t>Dveře vnitřní CPL 0,2  plné 1kř. 90x197 cm</t>
  </si>
  <si>
    <t>611601201</t>
  </si>
  <si>
    <t>612423531RT2</t>
  </si>
  <si>
    <t>34</t>
  </si>
  <si>
    <t>62</t>
  </si>
  <si>
    <t>Odsekání vnitřních obkladů stěn nad 2 m2</t>
  </si>
  <si>
    <t>783215100R00</t>
  </si>
  <si>
    <t>KARLOVY VARY, SEDLECKÁ 2</t>
  </si>
  <si>
    <t>Izolace proti vodě</t>
  </si>
  <si>
    <t>905      R00</t>
  </si>
  <si>
    <t>Náklady (Kč) - Montáž</t>
  </si>
  <si>
    <t>Vnitřní kanalizace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</si>
</sst>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6">
    <font>
      <sz val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i/>
      <sz val="10"/>
      <color indexed="8"/>
      <name val="Arial"/>
      <family val="0"/>
    </font>
    <font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sz val="10"/>
      <color rgb="FF000000"/>
      <name val="Arial"/>
      <family val="0"/>
    </font>
    <font>
      <i/>
      <sz val="8"/>
      <color rgb="FF000000"/>
      <name val="Arial"/>
      <family val="0"/>
    </font>
    <font>
      <i/>
      <sz val="10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1" fillId="0" borderId="0" xfId="0" applyNumberFormat="1" applyFont="1" applyFill="1" applyBorder="1" applyAlignment="1" applyProtection="1">
      <alignment/>
      <protection/>
    </xf>
    <xf numFmtId="4" fontId="46" fillId="33" borderId="10" xfId="0" applyNumberFormat="1" applyFont="1" applyFill="1" applyBorder="1" applyAlignment="1" applyProtection="1">
      <alignment horizontal="right" vertical="center"/>
      <protection/>
    </xf>
    <xf numFmtId="0" fontId="47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4" fontId="48" fillId="0" borderId="10" xfId="0" applyNumberFormat="1" applyFont="1" applyFill="1" applyBorder="1" applyAlignment="1" applyProtection="1">
      <alignment horizontal="righ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4" fontId="48" fillId="0" borderId="14" xfId="0" applyNumberFormat="1" applyFont="1" applyFill="1" applyBorder="1" applyAlignment="1" applyProtection="1">
      <alignment horizontal="right" vertical="center"/>
      <protection/>
    </xf>
    <xf numFmtId="0" fontId="47" fillId="33" borderId="14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center" vertical="center"/>
      <protection/>
    </xf>
    <xf numFmtId="4" fontId="49" fillId="0" borderId="20" xfId="0" applyNumberFormat="1" applyFont="1" applyFill="1" applyBorder="1" applyAlignment="1" applyProtection="1">
      <alignment horizontal="righ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49" fillId="0" borderId="14" xfId="0" applyNumberFormat="1" applyFont="1" applyFill="1" applyBorder="1" applyAlignment="1" applyProtection="1">
      <alignment horizontal="righ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52" fillId="33" borderId="21" xfId="0" applyNumberFormat="1" applyFont="1" applyFill="1" applyBorder="1" applyAlignment="1" applyProtection="1">
      <alignment horizontal="center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2" fillId="33" borderId="10" xfId="0" applyNumberFormat="1" applyFont="1" applyFill="1" applyBorder="1" applyAlignment="1" applyProtection="1">
      <alignment horizontal="center" vertical="center"/>
      <protection/>
    </xf>
    <xf numFmtId="4" fontId="46" fillId="33" borderId="17" xfId="0" applyNumberFormat="1" applyFont="1" applyFill="1" applyBorder="1" applyAlignment="1" applyProtection="1">
      <alignment horizontal="righ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4" fontId="48" fillId="0" borderId="17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4" fontId="48" fillId="0" borderId="11" xfId="0" applyNumberFormat="1" applyFont="1" applyFill="1" applyBorder="1" applyAlignment="1" applyProtection="1">
      <alignment horizontal="right" vertical="center"/>
      <protection/>
    </xf>
    <xf numFmtId="0" fontId="49" fillId="0" borderId="26" xfId="0" applyNumberFormat="1" applyFont="1" applyFill="1" applyBorder="1" applyAlignment="1" applyProtection="1">
      <alignment horizontal="left" vertical="center"/>
      <protection/>
    </xf>
    <xf numFmtId="0" fontId="47" fillId="0" borderId="27" xfId="0" applyNumberFormat="1" applyFont="1" applyFill="1" applyBorder="1" applyAlignment="1" applyProtection="1">
      <alignment horizontal="center" vertical="center"/>
      <protection/>
    </xf>
    <xf numFmtId="0" fontId="48" fillId="0" borderId="14" xfId="0" applyNumberFormat="1" applyFont="1" applyFill="1" applyBorder="1" applyAlignment="1" applyProtection="1">
      <alignment horizontal="right" vertical="center"/>
      <protection/>
    </xf>
    <xf numFmtId="4" fontId="51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8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29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30" xfId="0" applyNumberFormat="1" applyFont="1" applyFill="1" applyBorder="1" applyAlignment="1" applyProtection="1">
      <alignment horizontal="center" vertical="center"/>
      <protection/>
    </xf>
    <xf numFmtId="0" fontId="47" fillId="33" borderId="14" xfId="0" applyNumberFormat="1" applyFont="1" applyFill="1" applyBorder="1" applyAlignment="1" applyProtection="1">
      <alignment horizontal="right"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9" fillId="0" borderId="17" xfId="0" applyNumberFormat="1" applyFont="1" applyFill="1" applyBorder="1" applyAlignment="1" applyProtection="1">
      <alignment horizontal="right" vertical="center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31" xfId="0" applyNumberFormat="1" applyFont="1" applyFill="1" applyBorder="1" applyAlignment="1" applyProtection="1">
      <alignment horizontal="left" vertical="center" wrapText="1"/>
      <protection/>
    </xf>
    <xf numFmtId="0" fontId="49" fillId="0" borderId="32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 wrapText="1"/>
      <protection/>
    </xf>
    <xf numFmtId="0" fontId="49" fillId="0" borderId="32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33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35" xfId="0" applyNumberFormat="1" applyFont="1" applyFill="1" applyBorder="1" applyAlignment="1" applyProtection="1">
      <alignment horizontal="center" vertical="center"/>
      <protection/>
    </xf>
    <xf numFmtId="0" fontId="47" fillId="0" borderId="36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49" fillId="0" borderId="33" xfId="0" applyNumberFormat="1" applyFont="1" applyFill="1" applyBorder="1" applyAlignment="1" applyProtection="1">
      <alignment horizontal="left" vertical="center" wrapText="1"/>
      <protection/>
    </xf>
    <xf numFmtId="0" fontId="49" fillId="0" borderId="14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26" xfId="0" applyNumberFormat="1" applyFont="1" applyFill="1" applyBorder="1" applyAlignment="1" applyProtection="1">
      <alignment horizontal="left" vertical="center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1" fontId="49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7" xfId="0" applyNumberFormat="1" applyFont="1" applyFill="1" applyBorder="1" applyAlignment="1" applyProtection="1">
      <alignment horizontal="left" vertical="center"/>
      <protection/>
    </xf>
    <xf numFmtId="0" fontId="5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38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37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0" fontId="46" fillId="33" borderId="38" xfId="0" applyNumberFormat="1" applyFont="1" applyFill="1" applyBorder="1" applyAlignment="1" applyProtection="1">
      <alignment horizontal="left" vertical="center"/>
      <protection/>
    </xf>
    <xf numFmtId="0" fontId="46" fillId="33" borderId="37" xfId="0" applyNumberFormat="1" applyFont="1" applyFill="1" applyBorder="1" applyAlignment="1" applyProtection="1">
      <alignment horizontal="left" vertical="center"/>
      <protection/>
    </xf>
    <xf numFmtId="0" fontId="46" fillId="33" borderId="26" xfId="0" applyNumberFormat="1" applyFont="1" applyFill="1" applyBorder="1" applyAlignment="1" applyProtection="1">
      <alignment horizontal="left" vertical="center"/>
      <protection/>
    </xf>
    <xf numFmtId="0" fontId="46" fillId="33" borderId="20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9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828675</xdr:colOff>
      <xdr:row>7</xdr:row>
      <xdr:rowOff>114300</xdr:rowOff>
    </xdr:from>
    <xdr:to>
      <xdr:col>5</xdr:col>
      <xdr:colOff>1809750</xdr:colOff>
      <xdr:row>10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952625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I4" sqref="I4:I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80" t="s">
        <v>141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42</v>
      </c>
      <c r="B2" s="59"/>
      <c r="C2" s="65" t="str">
        <f>'Stavební rozpočet'!C2</f>
        <v>STAVEBNÍ ÚPRAVY, 1. NP, SZ STRANA - MODULY 01-03 / A-B</v>
      </c>
      <c r="D2" s="82"/>
      <c r="E2" s="63" t="s">
        <v>477</v>
      </c>
      <c r="F2" s="63" t="str">
        <f>'Stavební rozpočet'!G2</f>
        <v>Městské zařízení sociálních služeb Karlovy Vary, p</v>
      </c>
      <c r="G2" s="59"/>
      <c r="H2" s="63" t="s">
        <v>368</v>
      </c>
      <c r="I2" s="67" t="s">
        <v>391</v>
      </c>
    </row>
    <row r="3" spans="1:9" ht="15" customHeight="1">
      <c r="A3" s="60"/>
      <c r="B3" s="61"/>
      <c r="C3" s="66"/>
      <c r="D3" s="66"/>
      <c r="E3" s="61"/>
      <c r="F3" s="61"/>
      <c r="G3" s="61"/>
      <c r="H3" s="61"/>
      <c r="I3" s="68"/>
    </row>
    <row r="4" spans="1:9" ht="15" customHeight="1">
      <c r="A4" s="62" t="s">
        <v>308</v>
      </c>
      <c r="B4" s="61"/>
      <c r="C4" s="64" t="str">
        <f>'Stavební rozpočet'!C4</f>
        <v>RT 2143-22</v>
      </c>
      <c r="D4" s="61"/>
      <c r="E4" s="64" t="s">
        <v>386</v>
      </c>
      <c r="F4" s="64" t="str">
        <f>'Stavební rozpočet'!G4</f>
        <v>Ing Jan Hruška, Josefa Lady 199, K.Vary-Olšová Vra</v>
      </c>
      <c r="G4" s="61"/>
      <c r="H4" s="64" t="s">
        <v>368</v>
      </c>
      <c r="I4" s="68" t="s">
        <v>391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8"/>
    </row>
    <row r="6" spans="1:9" ht="15" customHeight="1">
      <c r="A6" s="62" t="s">
        <v>53</v>
      </c>
      <c r="B6" s="61"/>
      <c r="C6" s="64" t="str">
        <f>'Stavební rozpočet'!C6</f>
        <v>KARLOVY VARY, SEDLECKÁ 2</v>
      </c>
      <c r="D6" s="61"/>
      <c r="E6" s="64" t="s">
        <v>490</v>
      </c>
      <c r="F6" s="64" t="str">
        <f>'Stavební rozpočet'!G6</f>
        <v> </v>
      </c>
      <c r="G6" s="61"/>
      <c r="H6" s="64" t="s">
        <v>368</v>
      </c>
      <c r="I6" s="68" t="s">
        <v>391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8"/>
    </row>
    <row r="8" spans="1:9" ht="15" customHeight="1">
      <c r="A8" s="62" t="s">
        <v>499</v>
      </c>
      <c r="B8" s="61"/>
      <c r="C8" s="64" t="str">
        <f>'Stavební rozpočet'!E4</f>
        <v> </v>
      </c>
      <c r="D8" s="61"/>
      <c r="E8" s="64" t="s">
        <v>187</v>
      </c>
      <c r="F8" s="64" t="str">
        <f>'Stavební rozpočet'!E6</f>
        <v> </v>
      </c>
      <c r="G8" s="61"/>
      <c r="H8" s="61" t="s">
        <v>557</v>
      </c>
      <c r="I8" s="83">
        <v>136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8"/>
    </row>
    <row r="10" spans="1:9" ht="15" customHeight="1">
      <c r="A10" s="62" t="s">
        <v>279</v>
      </c>
      <c r="B10" s="61"/>
      <c r="C10" s="64" t="str">
        <f>'Stavební rozpočet'!C8</f>
        <v>803</v>
      </c>
      <c r="D10" s="61"/>
      <c r="E10" s="64" t="s">
        <v>378</v>
      </c>
      <c r="F10" s="64" t="str">
        <f>'Stavební rozpočet'!G8</f>
        <v>Volek S</v>
      </c>
      <c r="G10" s="61"/>
      <c r="H10" s="61" t="s">
        <v>538</v>
      </c>
      <c r="I10" s="79" t="str">
        <f>'Stavební rozpočet'!E8</f>
        <v>09.12.2021</v>
      </c>
    </row>
    <row r="11" spans="1:9" ht="15" customHeight="1">
      <c r="A11" s="81"/>
      <c r="B11" s="77"/>
      <c r="C11" s="77"/>
      <c r="D11" s="77"/>
      <c r="E11" s="77"/>
      <c r="F11" s="77"/>
      <c r="G11" s="77"/>
      <c r="H11" s="77"/>
      <c r="I11" s="84"/>
    </row>
    <row r="12" spans="1:9" ht="22.5" customHeight="1">
      <c r="A12" s="85" t="s">
        <v>101</v>
      </c>
      <c r="B12" s="85"/>
      <c r="C12" s="85"/>
      <c r="D12" s="85"/>
      <c r="E12" s="85"/>
      <c r="F12" s="85"/>
      <c r="G12" s="85"/>
      <c r="H12" s="85"/>
      <c r="I12" s="85"/>
    </row>
    <row r="13" spans="1:9" ht="26.25" customHeight="1">
      <c r="A13" s="21" t="s">
        <v>501</v>
      </c>
      <c r="B13" s="86" t="s">
        <v>81</v>
      </c>
      <c r="C13" s="87"/>
      <c r="D13" s="23" t="s">
        <v>113</v>
      </c>
      <c r="E13" s="86" t="s">
        <v>209</v>
      </c>
      <c r="F13" s="87"/>
      <c r="G13" s="23" t="s">
        <v>356</v>
      </c>
      <c r="H13" s="86" t="s">
        <v>115</v>
      </c>
      <c r="I13" s="87"/>
    </row>
    <row r="14" spans="1:9" ht="15" customHeight="1">
      <c r="A14" s="29" t="s">
        <v>214</v>
      </c>
      <c r="B14" s="49" t="s">
        <v>157</v>
      </c>
      <c r="C14" s="32">
        <f>SUM('Stavební rozpočet'!AB12:AB217)</f>
        <v>0</v>
      </c>
      <c r="D14" s="94" t="s">
        <v>407</v>
      </c>
      <c r="E14" s="95"/>
      <c r="F14" s="32">
        <v>0</v>
      </c>
      <c r="G14" s="94" t="s">
        <v>64</v>
      </c>
      <c r="H14" s="95"/>
      <c r="I14" s="10" t="s">
        <v>298</v>
      </c>
    </row>
    <row r="15" spans="1:9" ht="15" customHeight="1">
      <c r="A15" s="37" t="s">
        <v>391</v>
      </c>
      <c r="B15" s="49" t="s">
        <v>120</v>
      </c>
      <c r="C15" s="32">
        <f>SUM('Stavební rozpočet'!AC12:AC217)</f>
        <v>0</v>
      </c>
      <c r="D15" s="94" t="s">
        <v>60</v>
      </c>
      <c r="E15" s="95"/>
      <c r="F15" s="32">
        <v>0</v>
      </c>
      <c r="G15" s="94" t="s">
        <v>445</v>
      </c>
      <c r="H15" s="95"/>
      <c r="I15" s="10" t="s">
        <v>298</v>
      </c>
    </row>
    <row r="16" spans="1:9" ht="15" customHeight="1">
      <c r="A16" s="29" t="s">
        <v>58</v>
      </c>
      <c r="B16" s="49" t="s">
        <v>157</v>
      </c>
      <c r="C16" s="32">
        <f>SUM('Stavební rozpočet'!AD12:AD217)</f>
        <v>0</v>
      </c>
      <c r="D16" s="94" t="s">
        <v>416</v>
      </c>
      <c r="E16" s="95"/>
      <c r="F16" s="32">
        <v>0</v>
      </c>
      <c r="G16" s="94" t="s">
        <v>534</v>
      </c>
      <c r="H16" s="95"/>
      <c r="I16" s="10" t="s">
        <v>298</v>
      </c>
    </row>
    <row r="17" spans="1:9" ht="15" customHeight="1">
      <c r="A17" s="37" t="s">
        <v>391</v>
      </c>
      <c r="B17" s="49" t="s">
        <v>120</v>
      </c>
      <c r="C17" s="32">
        <f>SUM('Stavební rozpočet'!AE12:AE217)</f>
        <v>0</v>
      </c>
      <c r="D17" s="94" t="s">
        <v>391</v>
      </c>
      <c r="E17" s="95"/>
      <c r="F17" s="10" t="s">
        <v>391</v>
      </c>
      <c r="G17" s="94" t="s">
        <v>299</v>
      </c>
      <c r="H17" s="95"/>
      <c r="I17" s="10" t="s">
        <v>298</v>
      </c>
    </row>
    <row r="18" spans="1:9" ht="15" customHeight="1">
      <c r="A18" s="29" t="s">
        <v>182</v>
      </c>
      <c r="B18" s="49" t="s">
        <v>157</v>
      </c>
      <c r="C18" s="32">
        <f>SUM('Stavební rozpočet'!AF12:AF217)</f>
        <v>0</v>
      </c>
      <c r="D18" s="94" t="s">
        <v>391</v>
      </c>
      <c r="E18" s="95"/>
      <c r="F18" s="10" t="s">
        <v>391</v>
      </c>
      <c r="G18" s="94" t="s">
        <v>373</v>
      </c>
      <c r="H18" s="95"/>
      <c r="I18" s="10" t="s">
        <v>298</v>
      </c>
    </row>
    <row r="19" spans="1:9" ht="15" customHeight="1">
      <c r="A19" s="37" t="s">
        <v>391</v>
      </c>
      <c r="B19" s="49" t="s">
        <v>120</v>
      </c>
      <c r="C19" s="32">
        <f>SUM('Stavební rozpočet'!AG12:AG217)</f>
        <v>0</v>
      </c>
      <c r="D19" s="94" t="s">
        <v>391</v>
      </c>
      <c r="E19" s="95"/>
      <c r="F19" s="10" t="s">
        <v>391</v>
      </c>
      <c r="G19" s="94" t="s">
        <v>546</v>
      </c>
      <c r="H19" s="95"/>
      <c r="I19" s="10" t="s">
        <v>298</v>
      </c>
    </row>
    <row r="20" spans="1:9" ht="15" customHeight="1">
      <c r="A20" s="88" t="s">
        <v>44</v>
      </c>
      <c r="B20" s="89"/>
      <c r="C20" s="32">
        <f>SUM('Stavební rozpočet'!AH12:AH217)</f>
        <v>0</v>
      </c>
      <c r="D20" s="94" t="s">
        <v>391</v>
      </c>
      <c r="E20" s="95"/>
      <c r="F20" s="10" t="s">
        <v>391</v>
      </c>
      <c r="G20" s="94" t="s">
        <v>391</v>
      </c>
      <c r="H20" s="95"/>
      <c r="I20" s="10" t="s">
        <v>391</v>
      </c>
    </row>
    <row r="21" spans="1:9" ht="15" customHeight="1">
      <c r="A21" s="90" t="s">
        <v>545</v>
      </c>
      <c r="B21" s="91"/>
      <c r="C21" s="6">
        <f>SUM('Stavební rozpočet'!Z12:Z217)</f>
        <v>0</v>
      </c>
      <c r="D21" s="96" t="s">
        <v>391</v>
      </c>
      <c r="E21" s="97"/>
      <c r="F21" s="44" t="s">
        <v>391</v>
      </c>
      <c r="G21" s="96" t="s">
        <v>391</v>
      </c>
      <c r="H21" s="97"/>
      <c r="I21" s="44" t="s">
        <v>391</v>
      </c>
    </row>
    <row r="22" spans="1:9" ht="16.5" customHeight="1">
      <c r="A22" s="92" t="s">
        <v>124</v>
      </c>
      <c r="B22" s="93"/>
      <c r="C22" s="4">
        <f>SUM(C14:C21)</f>
        <v>0</v>
      </c>
      <c r="D22" s="98" t="s">
        <v>291</v>
      </c>
      <c r="E22" s="93"/>
      <c r="F22" s="4">
        <f>SUM(F14:F21)</f>
        <v>0</v>
      </c>
      <c r="G22" s="98" t="s">
        <v>558</v>
      </c>
      <c r="H22" s="93"/>
      <c r="I22" s="4">
        <f>SUM(I14:I21)</f>
        <v>0</v>
      </c>
    </row>
    <row r="23" spans="4:9" ht="15" customHeight="1">
      <c r="D23" s="88" t="s">
        <v>449</v>
      </c>
      <c r="E23" s="89"/>
      <c r="F23" s="41">
        <v>0</v>
      </c>
      <c r="G23" s="99" t="s">
        <v>30</v>
      </c>
      <c r="H23" s="89"/>
      <c r="I23" s="32">
        <v>0</v>
      </c>
    </row>
    <row r="24" spans="7:8" ht="15" customHeight="1">
      <c r="G24" s="88" t="s">
        <v>387</v>
      </c>
      <c r="H24" s="89"/>
    </row>
    <row r="25" spans="7:9" ht="15" customHeight="1">
      <c r="G25" s="88" t="s">
        <v>429</v>
      </c>
      <c r="H25" s="89"/>
      <c r="I25" s="4">
        <v>0</v>
      </c>
    </row>
    <row r="27" spans="1:3" ht="15" customHeight="1">
      <c r="A27" s="100" t="s">
        <v>233</v>
      </c>
      <c r="B27" s="101"/>
      <c r="C27" s="1">
        <f>SUM('Stavební rozpočet'!AJ12:AJ217)</f>
        <v>0</v>
      </c>
    </row>
    <row r="28" spans="1:9" ht="15" customHeight="1">
      <c r="A28" s="102" t="s">
        <v>8</v>
      </c>
      <c r="B28" s="103"/>
      <c r="C28" s="24">
        <f>SUM('Stavební rozpočet'!AK12:AK217)</f>
        <v>0</v>
      </c>
      <c r="D28" s="101" t="s">
        <v>137</v>
      </c>
      <c r="E28" s="101"/>
      <c r="F28" s="1">
        <f>ROUND(C28*(15/100),2)</f>
        <v>0</v>
      </c>
      <c r="G28" s="101" t="s">
        <v>88</v>
      </c>
      <c r="H28" s="101"/>
      <c r="I28" s="1">
        <f>SUM(C27:C29)</f>
        <v>0</v>
      </c>
    </row>
    <row r="29" spans="1:9" ht="15" customHeight="1">
      <c r="A29" s="102" t="s">
        <v>23</v>
      </c>
      <c r="B29" s="103"/>
      <c r="C29" s="24">
        <f>SUM('Stavební rozpočet'!AL12:AL217)+(F22+I22+F23+I23+I24+I25)</f>
        <v>0</v>
      </c>
      <c r="D29" s="103" t="s">
        <v>423</v>
      </c>
      <c r="E29" s="103"/>
      <c r="F29" s="24">
        <f>ROUND(C29*(21/100),2)</f>
        <v>0</v>
      </c>
      <c r="G29" s="103" t="s">
        <v>229</v>
      </c>
      <c r="H29" s="103"/>
      <c r="I29" s="24">
        <f>SUM(F28:F29)+I28</f>
        <v>0</v>
      </c>
    </row>
    <row r="31" spans="1:9" ht="15" customHeight="1">
      <c r="A31" s="104" t="s">
        <v>5</v>
      </c>
      <c r="B31" s="105"/>
      <c r="C31" s="106"/>
      <c r="D31" s="105" t="s">
        <v>523</v>
      </c>
      <c r="E31" s="105"/>
      <c r="F31" s="106"/>
      <c r="G31" s="105" t="s">
        <v>382</v>
      </c>
      <c r="H31" s="105"/>
      <c r="I31" s="106"/>
    </row>
    <row r="32" spans="1:9" ht="15" customHeight="1">
      <c r="A32" s="107" t="s">
        <v>391</v>
      </c>
      <c r="B32" s="96"/>
      <c r="C32" s="108"/>
      <c r="D32" s="96" t="s">
        <v>391</v>
      </c>
      <c r="E32" s="96"/>
      <c r="F32" s="108"/>
      <c r="G32" s="96" t="s">
        <v>391</v>
      </c>
      <c r="H32" s="96"/>
      <c r="I32" s="108"/>
    </row>
    <row r="33" spans="1:9" ht="15" customHeight="1">
      <c r="A33" s="107" t="s">
        <v>391</v>
      </c>
      <c r="B33" s="96"/>
      <c r="C33" s="108"/>
      <c r="D33" s="96" t="s">
        <v>391</v>
      </c>
      <c r="E33" s="96"/>
      <c r="F33" s="108"/>
      <c r="G33" s="96" t="s">
        <v>391</v>
      </c>
      <c r="H33" s="96"/>
      <c r="I33" s="108"/>
    </row>
    <row r="34" spans="1:9" ht="15" customHeight="1">
      <c r="A34" s="107" t="s">
        <v>391</v>
      </c>
      <c r="B34" s="96"/>
      <c r="C34" s="108"/>
      <c r="D34" s="96" t="s">
        <v>391</v>
      </c>
      <c r="E34" s="96"/>
      <c r="F34" s="108"/>
      <c r="G34" s="96" t="s">
        <v>391</v>
      </c>
      <c r="H34" s="96"/>
      <c r="I34" s="108"/>
    </row>
    <row r="35" spans="1:9" ht="15" customHeight="1">
      <c r="A35" s="109" t="s">
        <v>121</v>
      </c>
      <c r="B35" s="110"/>
      <c r="C35" s="111"/>
      <c r="D35" s="110" t="s">
        <v>121</v>
      </c>
      <c r="E35" s="110"/>
      <c r="F35" s="111"/>
      <c r="G35" s="110" t="s">
        <v>121</v>
      </c>
      <c r="H35" s="110"/>
      <c r="I35" s="111"/>
    </row>
    <row r="36" ht="15" customHeight="1">
      <c r="A36" s="11" t="s">
        <v>51</v>
      </c>
    </row>
    <row r="37" spans="1:9" ht="13.5" customHeight="1">
      <c r="A37" s="64" t="s">
        <v>183</v>
      </c>
      <c r="B37" s="61"/>
      <c r="C37" s="61"/>
      <c r="D37" s="61"/>
      <c r="E37" s="61"/>
      <c r="F37" s="61"/>
      <c r="G37" s="61"/>
      <c r="H37" s="61"/>
      <c r="I37" s="61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1.1811023622047245" right="0.3937007874015748" top="0.5905511811023623" bottom="0.5905511811023623" header="0" footer="0"/>
  <pageSetup firstPageNumber="0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OutlineSymbols="0" zoomScalePageLayoutView="0" workbookViewId="0" topLeftCell="A1">
      <pane ySplit="11" topLeftCell="A12" activePane="bottomLeft" state="frozen"/>
      <selection pane="topLeft" activeCell="C30" sqref="C30:D30"/>
      <selection pane="bottomLeft" activeCell="A1" sqref="A1:G1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4" width="14.16015625" style="0" customWidth="1"/>
    <col min="5" max="7" width="32.5" style="0" customWidth="1"/>
    <col min="8" max="9" width="0" style="0" hidden="1" customWidth="1"/>
  </cols>
  <sheetData>
    <row r="1" spans="1:7" ht="54.75" customHeight="1">
      <c r="A1" s="57" t="s">
        <v>470</v>
      </c>
      <c r="B1" s="57"/>
      <c r="C1" s="57"/>
      <c r="D1" s="57"/>
      <c r="E1" s="57"/>
      <c r="F1" s="57"/>
      <c r="G1" s="57"/>
    </row>
    <row r="2" spans="1:7" ht="15" customHeight="1">
      <c r="A2" s="58" t="s">
        <v>42</v>
      </c>
      <c r="B2" s="59"/>
      <c r="C2" s="65" t="str">
        <f>'Stavební rozpočet'!C2</f>
        <v>STAVEBNÍ ÚPRAVY, 1. NP, SZ STRANA - MODULY 01-03 / A-B</v>
      </c>
      <c r="D2" s="59" t="s">
        <v>3</v>
      </c>
      <c r="E2" s="59" t="s">
        <v>513</v>
      </c>
      <c r="F2" s="63" t="s">
        <v>477</v>
      </c>
      <c r="G2" s="78" t="str">
        <f>'Stavební rozpočet'!G2</f>
        <v>Městské zařízení sociálních služeb Karlovy Vary, p</v>
      </c>
    </row>
    <row r="3" spans="1:7" ht="15" customHeight="1">
      <c r="A3" s="60"/>
      <c r="B3" s="61"/>
      <c r="C3" s="66"/>
      <c r="D3" s="61"/>
      <c r="E3" s="61"/>
      <c r="F3" s="61"/>
      <c r="G3" s="68"/>
    </row>
    <row r="4" spans="1:7" ht="15" customHeight="1">
      <c r="A4" s="62" t="s">
        <v>308</v>
      </c>
      <c r="B4" s="61"/>
      <c r="C4" s="64" t="str">
        <f>'Stavební rozpočet'!C4</f>
        <v>RT 2143-22</v>
      </c>
      <c r="D4" s="61" t="s">
        <v>499</v>
      </c>
      <c r="E4" s="61" t="s">
        <v>513</v>
      </c>
      <c r="F4" s="64" t="s">
        <v>386</v>
      </c>
      <c r="G4" s="79" t="str">
        <f>'Stavební rozpočet'!G4</f>
        <v>Ing Jan Hruška, Josefa Lady 199, K.Vary-Olšová Vra</v>
      </c>
    </row>
    <row r="5" spans="1:7" ht="15" customHeight="1">
      <c r="A5" s="60"/>
      <c r="B5" s="61"/>
      <c r="C5" s="61"/>
      <c r="D5" s="61"/>
      <c r="E5" s="61"/>
      <c r="F5" s="61"/>
      <c r="G5" s="68"/>
    </row>
    <row r="6" spans="1:7" ht="15" customHeight="1">
      <c r="A6" s="62" t="s">
        <v>53</v>
      </c>
      <c r="B6" s="61"/>
      <c r="C6" s="64" t="str">
        <f>'Stavební rozpočet'!C6</f>
        <v>KARLOVY VARY, SEDLECKÁ 2</v>
      </c>
      <c r="D6" s="61" t="s">
        <v>187</v>
      </c>
      <c r="E6" s="61" t="s">
        <v>513</v>
      </c>
      <c r="F6" s="64" t="s">
        <v>490</v>
      </c>
      <c r="G6" s="79" t="str">
        <f>'Stavební rozpočet'!G6</f>
        <v> </v>
      </c>
    </row>
    <row r="7" spans="1:7" ht="15" customHeight="1">
      <c r="A7" s="60"/>
      <c r="B7" s="61"/>
      <c r="C7" s="61"/>
      <c r="D7" s="61"/>
      <c r="E7" s="61"/>
      <c r="F7" s="61"/>
      <c r="G7" s="68"/>
    </row>
    <row r="8" spans="1:7" ht="15" customHeight="1">
      <c r="A8" s="62" t="s">
        <v>378</v>
      </c>
      <c r="B8" s="61"/>
      <c r="C8" s="64" t="str">
        <f>'Stavební rozpočet'!G8</f>
        <v>Volek S</v>
      </c>
      <c r="D8" s="61" t="s">
        <v>320</v>
      </c>
      <c r="E8" s="61" t="s">
        <v>508</v>
      </c>
      <c r="F8" s="61" t="s">
        <v>320</v>
      </c>
      <c r="G8" s="79" t="str">
        <f>'Stavební rozpočet'!E8</f>
        <v>09.12.2021</v>
      </c>
    </row>
    <row r="9" spans="1:7" ht="15" customHeight="1">
      <c r="A9" s="60"/>
      <c r="B9" s="61"/>
      <c r="C9" s="61"/>
      <c r="D9" s="77"/>
      <c r="E9" s="61"/>
      <c r="F9" s="61"/>
      <c r="G9" s="68"/>
    </row>
    <row r="10" spans="1:7" ht="15" customHeight="1">
      <c r="A10" s="25" t="s">
        <v>417</v>
      </c>
      <c r="B10" s="8" t="s">
        <v>191</v>
      </c>
      <c r="C10" s="5" t="s">
        <v>594</v>
      </c>
      <c r="E10" s="13" t="s">
        <v>283</v>
      </c>
      <c r="F10" s="43" t="s">
        <v>625</v>
      </c>
      <c r="G10" s="43" t="s">
        <v>36</v>
      </c>
    </row>
    <row r="11" spans="1:9" ht="15" customHeight="1">
      <c r="A11" s="9" t="s">
        <v>391</v>
      </c>
      <c r="B11" s="33" t="s">
        <v>618</v>
      </c>
      <c r="C11" s="61" t="s">
        <v>147</v>
      </c>
      <c r="D11" s="61"/>
      <c r="E11" s="40">
        <f>'Stavební rozpočet'!J12</f>
        <v>0</v>
      </c>
      <c r="F11" s="40">
        <f>'Stavební rozpočet'!K12</f>
        <v>0</v>
      </c>
      <c r="G11" s="40">
        <f>'Stavební rozpočet'!L12</f>
        <v>0</v>
      </c>
      <c r="H11" s="38" t="s">
        <v>537</v>
      </c>
      <c r="I11" s="40">
        <f aca="true" t="shared" si="0" ref="I11:I30">IF(H11="F",0,G11)</f>
        <v>0</v>
      </c>
    </row>
    <row r="12" spans="1:9" ht="15" customHeight="1">
      <c r="A12" s="9" t="s">
        <v>391</v>
      </c>
      <c r="B12" s="33" t="s">
        <v>80</v>
      </c>
      <c r="C12" s="61" t="s">
        <v>136</v>
      </c>
      <c r="D12" s="61"/>
      <c r="E12" s="40">
        <f>'Stavební rozpočet'!J21</f>
        <v>0</v>
      </c>
      <c r="F12" s="40">
        <f>'Stavební rozpočet'!K21</f>
        <v>0</v>
      </c>
      <c r="G12" s="40">
        <f>'Stavební rozpočet'!L21</f>
        <v>0</v>
      </c>
      <c r="H12" s="38" t="s">
        <v>537</v>
      </c>
      <c r="I12" s="40">
        <f t="shared" si="0"/>
        <v>0</v>
      </c>
    </row>
    <row r="13" spans="1:9" ht="15" customHeight="1">
      <c r="A13" s="9" t="s">
        <v>391</v>
      </c>
      <c r="B13" s="33" t="s">
        <v>409</v>
      </c>
      <c r="C13" s="61" t="s">
        <v>406</v>
      </c>
      <c r="D13" s="61"/>
      <c r="E13" s="40">
        <f>'Stavební rozpočet'!J25</f>
        <v>0</v>
      </c>
      <c r="F13" s="40">
        <f>'Stavební rozpočet'!K25</f>
        <v>0</v>
      </c>
      <c r="G13" s="40">
        <f>'Stavební rozpočet'!L25</f>
        <v>0</v>
      </c>
      <c r="H13" s="38" t="s">
        <v>537</v>
      </c>
      <c r="I13" s="40">
        <f t="shared" si="0"/>
        <v>0</v>
      </c>
    </row>
    <row r="14" spans="1:9" ht="15" customHeight="1">
      <c r="A14" s="9" t="s">
        <v>391</v>
      </c>
      <c r="B14" s="33" t="s">
        <v>37</v>
      </c>
      <c r="C14" s="61" t="s">
        <v>623</v>
      </c>
      <c r="D14" s="61"/>
      <c r="E14" s="40">
        <f>'Stavební rozpočet'!J36</f>
        <v>0</v>
      </c>
      <c r="F14" s="40">
        <f>'Stavební rozpočet'!K36</f>
        <v>0</v>
      </c>
      <c r="G14" s="40">
        <f>'Stavební rozpočet'!L36</f>
        <v>0</v>
      </c>
      <c r="H14" s="38" t="s">
        <v>537</v>
      </c>
      <c r="I14" s="40">
        <f t="shared" si="0"/>
        <v>0</v>
      </c>
    </row>
    <row r="15" spans="1:9" ht="15" customHeight="1">
      <c r="A15" s="9" t="s">
        <v>391</v>
      </c>
      <c r="B15" s="33" t="s">
        <v>362</v>
      </c>
      <c r="C15" s="61" t="s">
        <v>626</v>
      </c>
      <c r="D15" s="61"/>
      <c r="E15" s="40">
        <f>'Stavební rozpočet'!J42</f>
        <v>0</v>
      </c>
      <c r="F15" s="40">
        <f>'Stavební rozpočet'!K42</f>
        <v>0</v>
      </c>
      <c r="G15" s="40">
        <f>'Stavební rozpočet'!L42</f>
        <v>0</v>
      </c>
      <c r="H15" s="38" t="s">
        <v>537</v>
      </c>
      <c r="I15" s="40">
        <f t="shared" si="0"/>
        <v>0</v>
      </c>
    </row>
    <row r="16" spans="1:9" ht="15" customHeight="1">
      <c r="A16" s="9" t="s">
        <v>391</v>
      </c>
      <c r="B16" s="33" t="s">
        <v>504</v>
      </c>
      <c r="C16" s="61" t="s">
        <v>346</v>
      </c>
      <c r="D16" s="61"/>
      <c r="E16" s="40">
        <f>'Stavební rozpočet'!J52</f>
        <v>0</v>
      </c>
      <c r="F16" s="40">
        <f>'Stavební rozpočet'!K52</f>
        <v>0</v>
      </c>
      <c r="G16" s="40">
        <f>'Stavební rozpočet'!L52</f>
        <v>0</v>
      </c>
      <c r="H16" s="38" t="s">
        <v>537</v>
      </c>
      <c r="I16" s="40">
        <f t="shared" si="0"/>
        <v>0</v>
      </c>
    </row>
    <row r="17" spans="1:9" ht="15" customHeight="1">
      <c r="A17" s="9" t="s">
        <v>391</v>
      </c>
      <c r="B17" s="33" t="s">
        <v>536</v>
      </c>
      <c r="C17" s="61" t="s">
        <v>337</v>
      </c>
      <c r="D17" s="61"/>
      <c r="E17" s="40">
        <f>'Stavební rozpočet'!J66</f>
        <v>0</v>
      </c>
      <c r="F17" s="40">
        <f>'Stavební rozpočet'!K66</f>
        <v>0</v>
      </c>
      <c r="G17" s="40">
        <f>'Stavební rozpočet'!L66</f>
        <v>0</v>
      </c>
      <c r="H17" s="38" t="s">
        <v>537</v>
      </c>
      <c r="I17" s="40">
        <f t="shared" si="0"/>
        <v>0</v>
      </c>
    </row>
    <row r="18" spans="1:9" ht="15" customHeight="1">
      <c r="A18" s="9" t="s">
        <v>391</v>
      </c>
      <c r="B18" s="33" t="s">
        <v>321</v>
      </c>
      <c r="C18" s="61" t="s">
        <v>580</v>
      </c>
      <c r="D18" s="61"/>
      <c r="E18" s="40">
        <f>'Stavební rozpočet'!J87</f>
        <v>0</v>
      </c>
      <c r="F18" s="40">
        <f>'Stavební rozpočet'!K87</f>
        <v>0</v>
      </c>
      <c r="G18" s="40">
        <f>'Stavební rozpočet'!L87</f>
        <v>0</v>
      </c>
      <c r="H18" s="38" t="s">
        <v>537</v>
      </c>
      <c r="I18" s="40">
        <f t="shared" si="0"/>
        <v>0</v>
      </c>
    </row>
    <row r="19" spans="1:9" ht="15" customHeight="1">
      <c r="A19" s="9" t="s">
        <v>391</v>
      </c>
      <c r="B19" s="33" t="s">
        <v>237</v>
      </c>
      <c r="C19" s="61" t="s">
        <v>270</v>
      </c>
      <c r="D19" s="61"/>
      <c r="E19" s="40">
        <f>'Stavební rozpočet'!J96</f>
        <v>0</v>
      </c>
      <c r="F19" s="40">
        <f>'Stavební rozpočet'!K96</f>
        <v>0</v>
      </c>
      <c r="G19" s="40">
        <f>'Stavební rozpočet'!L96</f>
        <v>0</v>
      </c>
      <c r="H19" s="38" t="s">
        <v>537</v>
      </c>
      <c r="I19" s="40">
        <f t="shared" si="0"/>
        <v>0</v>
      </c>
    </row>
    <row r="20" spans="1:9" ht="15" customHeight="1">
      <c r="A20" s="9" t="s">
        <v>391</v>
      </c>
      <c r="B20" s="33" t="s">
        <v>606</v>
      </c>
      <c r="C20" s="61" t="s">
        <v>492</v>
      </c>
      <c r="D20" s="61"/>
      <c r="E20" s="40">
        <f>'Stavební rozpočet'!J110</f>
        <v>0</v>
      </c>
      <c r="F20" s="40">
        <f>'Stavební rozpočet'!K110</f>
        <v>0</v>
      </c>
      <c r="G20" s="40">
        <f>'Stavební rozpočet'!L110</f>
        <v>0</v>
      </c>
      <c r="H20" s="38" t="s">
        <v>537</v>
      </c>
      <c r="I20" s="40">
        <f t="shared" si="0"/>
        <v>0</v>
      </c>
    </row>
    <row r="21" spans="1:9" ht="15" customHeight="1">
      <c r="A21" s="9" t="s">
        <v>391</v>
      </c>
      <c r="B21" s="33" t="s">
        <v>440</v>
      </c>
      <c r="C21" s="61" t="s">
        <v>377</v>
      </c>
      <c r="D21" s="61"/>
      <c r="E21" s="40">
        <f>'Stavební rozpočet'!J118</f>
        <v>0</v>
      </c>
      <c r="F21" s="40">
        <f>'Stavební rozpočet'!K118</f>
        <v>0</v>
      </c>
      <c r="G21" s="40">
        <f>'Stavební rozpočet'!L118</f>
        <v>0</v>
      </c>
      <c r="H21" s="38" t="s">
        <v>537</v>
      </c>
      <c r="I21" s="40">
        <f t="shared" si="0"/>
        <v>0</v>
      </c>
    </row>
    <row r="22" spans="1:9" ht="15" customHeight="1">
      <c r="A22" s="9" t="s">
        <v>391</v>
      </c>
      <c r="B22" s="33" t="s">
        <v>455</v>
      </c>
      <c r="C22" s="61" t="s">
        <v>249</v>
      </c>
      <c r="D22" s="61"/>
      <c r="E22" s="40">
        <f>'Stavební rozpočet'!J128</f>
        <v>0</v>
      </c>
      <c r="F22" s="40">
        <f>'Stavební rozpočet'!K128</f>
        <v>0</v>
      </c>
      <c r="G22" s="40">
        <f>'Stavební rozpočet'!L128</f>
        <v>0</v>
      </c>
      <c r="H22" s="38" t="s">
        <v>537</v>
      </c>
      <c r="I22" s="40">
        <f t="shared" si="0"/>
        <v>0</v>
      </c>
    </row>
    <row r="23" spans="1:9" ht="15" customHeight="1">
      <c r="A23" s="9" t="s">
        <v>391</v>
      </c>
      <c r="B23" s="33" t="s">
        <v>323</v>
      </c>
      <c r="C23" s="61" t="s">
        <v>446</v>
      </c>
      <c r="D23" s="61"/>
      <c r="E23" s="40">
        <f>'Stavební rozpočet'!J141</f>
        <v>0</v>
      </c>
      <c r="F23" s="40">
        <f>'Stavební rozpočet'!K141</f>
        <v>0</v>
      </c>
      <c r="G23" s="40">
        <f>'Stavební rozpočet'!L141</f>
        <v>0</v>
      </c>
      <c r="H23" s="38" t="s">
        <v>537</v>
      </c>
      <c r="I23" s="40">
        <f t="shared" si="0"/>
        <v>0</v>
      </c>
    </row>
    <row r="24" spans="1:9" ht="15" customHeight="1">
      <c r="A24" s="9" t="s">
        <v>391</v>
      </c>
      <c r="B24" s="33" t="s">
        <v>317</v>
      </c>
      <c r="C24" s="61" t="s">
        <v>9</v>
      </c>
      <c r="D24" s="61"/>
      <c r="E24" s="40">
        <f>'Stavební rozpočet'!J144</f>
        <v>0</v>
      </c>
      <c r="F24" s="40">
        <f>'Stavební rozpočet'!K144</f>
        <v>0</v>
      </c>
      <c r="G24" s="40">
        <f>'Stavební rozpočet'!L144</f>
        <v>0</v>
      </c>
      <c r="H24" s="38" t="s">
        <v>537</v>
      </c>
      <c r="I24" s="40">
        <f t="shared" si="0"/>
        <v>0</v>
      </c>
    </row>
    <row r="25" spans="1:9" ht="15" customHeight="1">
      <c r="A25" s="9" t="s">
        <v>391</v>
      </c>
      <c r="B25" s="33" t="s">
        <v>75</v>
      </c>
      <c r="C25" s="61" t="s">
        <v>399</v>
      </c>
      <c r="D25" s="61"/>
      <c r="E25" s="40">
        <f>'Stavební rozpočet'!J150</f>
        <v>0</v>
      </c>
      <c r="F25" s="40">
        <f>'Stavební rozpočet'!K150</f>
        <v>0</v>
      </c>
      <c r="G25" s="40">
        <f>'Stavební rozpočet'!L150</f>
        <v>0</v>
      </c>
      <c r="H25" s="38" t="s">
        <v>537</v>
      </c>
      <c r="I25" s="40">
        <f t="shared" si="0"/>
        <v>0</v>
      </c>
    </row>
    <row r="26" spans="1:9" ht="15" customHeight="1">
      <c r="A26" s="9" t="s">
        <v>391</v>
      </c>
      <c r="B26" s="33" t="s">
        <v>227</v>
      </c>
      <c r="C26" s="61" t="s">
        <v>418</v>
      </c>
      <c r="D26" s="61"/>
      <c r="E26" s="40">
        <f>'Stavební rozpočet'!J153</f>
        <v>0</v>
      </c>
      <c r="F26" s="40">
        <f>'Stavební rozpočet'!K153</f>
        <v>0</v>
      </c>
      <c r="G26" s="40">
        <f>'Stavební rozpočet'!L153</f>
        <v>0</v>
      </c>
      <c r="H26" s="38" t="s">
        <v>537</v>
      </c>
      <c r="I26" s="40">
        <f t="shared" si="0"/>
        <v>0</v>
      </c>
    </row>
    <row r="27" spans="1:9" ht="15" customHeight="1">
      <c r="A27" s="9" t="s">
        <v>391</v>
      </c>
      <c r="B27" s="33" t="s">
        <v>318</v>
      </c>
      <c r="C27" s="61" t="s">
        <v>419</v>
      </c>
      <c r="D27" s="61"/>
      <c r="E27" s="40">
        <f>'Stavební rozpočet'!J159</f>
        <v>0</v>
      </c>
      <c r="F27" s="40">
        <f>'Stavební rozpočet'!K159</f>
        <v>0</v>
      </c>
      <c r="G27" s="40">
        <f>'Stavební rozpočet'!L159</f>
        <v>0</v>
      </c>
      <c r="H27" s="38" t="s">
        <v>537</v>
      </c>
      <c r="I27" s="40">
        <f t="shared" si="0"/>
        <v>0</v>
      </c>
    </row>
    <row r="28" spans="1:9" ht="15" customHeight="1">
      <c r="A28" s="9" t="s">
        <v>391</v>
      </c>
      <c r="B28" s="33" t="s">
        <v>582</v>
      </c>
      <c r="C28" s="61" t="s">
        <v>200</v>
      </c>
      <c r="D28" s="61"/>
      <c r="E28" s="40">
        <f>'Stavební rozpočet'!J165</f>
        <v>0</v>
      </c>
      <c r="F28" s="40">
        <f>'Stavební rozpočet'!K165</f>
        <v>0</v>
      </c>
      <c r="G28" s="40">
        <f>'Stavební rozpočet'!L165</f>
        <v>0</v>
      </c>
      <c r="H28" s="38" t="s">
        <v>537</v>
      </c>
      <c r="I28" s="40">
        <f t="shared" si="0"/>
        <v>0</v>
      </c>
    </row>
    <row r="29" spans="1:9" ht="15" customHeight="1">
      <c r="A29" s="9" t="s">
        <v>391</v>
      </c>
      <c r="B29" s="33" t="s">
        <v>94</v>
      </c>
      <c r="C29" s="61" t="s">
        <v>173</v>
      </c>
      <c r="D29" s="61"/>
      <c r="E29" s="40">
        <f>'Stavební rozpočet'!J168</f>
        <v>0</v>
      </c>
      <c r="F29" s="40">
        <f>'Stavební rozpočet'!K168</f>
        <v>0</v>
      </c>
      <c r="G29" s="40">
        <f>'Stavební rozpočet'!L168</f>
        <v>0</v>
      </c>
      <c r="H29" s="38" t="s">
        <v>537</v>
      </c>
      <c r="I29" s="40">
        <f t="shared" si="0"/>
        <v>0</v>
      </c>
    </row>
    <row r="30" spans="1:9" ht="15" customHeight="1">
      <c r="A30" s="9" t="s">
        <v>391</v>
      </c>
      <c r="B30" s="33" t="s">
        <v>192</v>
      </c>
      <c r="C30" s="61" t="s">
        <v>245</v>
      </c>
      <c r="D30" s="61"/>
      <c r="E30" s="40">
        <f>'Stavební rozpočet'!J197</f>
        <v>0</v>
      </c>
      <c r="F30" s="40">
        <f>'Stavební rozpočet'!K197</f>
        <v>0</v>
      </c>
      <c r="G30" s="40">
        <f>'Stavební rozpočet'!L197</f>
        <v>0</v>
      </c>
      <c r="H30" s="38" t="s">
        <v>537</v>
      </c>
      <c r="I30" s="40">
        <f t="shared" si="0"/>
        <v>0</v>
      </c>
    </row>
    <row r="31" spans="6:7" ht="15" customHeight="1">
      <c r="F31" s="34" t="s">
        <v>444</v>
      </c>
      <c r="G31" s="28">
        <f>SUM(I11:I30)</f>
        <v>0</v>
      </c>
    </row>
  </sheetData>
  <sheetProtection/>
  <mergeCells count="45">
    <mergeCell ref="C30:D30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E8:E9"/>
    <mergeCell ref="G2:G3"/>
    <mergeCell ref="G4:G5"/>
    <mergeCell ref="G6:G7"/>
    <mergeCell ref="G8:G9"/>
    <mergeCell ref="C11:D11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20"/>
  <sheetViews>
    <sheetView showOutlineSymbols="0" zoomScalePageLayoutView="0" workbookViewId="0" topLeftCell="A1">
      <pane ySplit="11" topLeftCell="A12" activePane="bottomLeft" state="frozen"/>
      <selection pane="topLeft" activeCell="A220" sqref="A220:M220"/>
      <selection pane="bottomLeft" activeCell="A1" sqref="A1:M1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80.5" style="0" customWidth="1"/>
    <col min="4" max="4" width="15.33203125" style="0" customWidth="1"/>
    <col min="5" max="6" width="14.16015625" style="0" customWidth="1"/>
    <col min="7" max="7" width="7.5" style="0" customWidth="1"/>
    <col min="8" max="8" width="15" style="0" customWidth="1"/>
    <col min="9" max="9" width="14" style="0" customWidth="1"/>
    <col min="10" max="12" width="18.33203125" style="0" customWidth="1"/>
    <col min="13" max="13" width="13.66015625" style="0" customWidth="1"/>
    <col min="14" max="24" width="14.16015625" style="0" customWidth="1"/>
    <col min="25" max="64" width="14.16015625" style="0" hidden="1" customWidth="1"/>
  </cols>
  <sheetData>
    <row r="1" spans="1:13" ht="54.75" customHeight="1">
      <c r="A1" s="57" t="s">
        <v>505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>
      <c r="A2" s="58" t="s">
        <v>42</v>
      </c>
      <c r="B2" s="59"/>
      <c r="C2" s="65" t="s">
        <v>422</v>
      </c>
      <c r="D2" s="59" t="s">
        <v>3</v>
      </c>
      <c r="E2" s="59" t="s">
        <v>513</v>
      </c>
      <c r="F2" s="63" t="s">
        <v>477</v>
      </c>
      <c r="G2" s="63" t="s">
        <v>33</v>
      </c>
      <c r="H2" s="59"/>
      <c r="I2" s="59"/>
      <c r="J2" s="59"/>
      <c r="K2" s="59"/>
      <c r="L2" s="59"/>
      <c r="M2" s="67"/>
    </row>
    <row r="3" spans="1:13" ht="15" customHeight="1">
      <c r="A3" s="60"/>
      <c r="B3" s="61"/>
      <c r="C3" s="66"/>
      <c r="D3" s="61"/>
      <c r="E3" s="61"/>
      <c r="F3" s="61"/>
      <c r="G3" s="61"/>
      <c r="H3" s="61"/>
      <c r="I3" s="61"/>
      <c r="J3" s="61"/>
      <c r="K3" s="61"/>
      <c r="L3" s="61"/>
      <c r="M3" s="68"/>
    </row>
    <row r="4" spans="1:13" ht="15" customHeight="1">
      <c r="A4" s="62" t="s">
        <v>308</v>
      </c>
      <c r="B4" s="61"/>
      <c r="C4" s="64" t="s">
        <v>510</v>
      </c>
      <c r="D4" s="61" t="s">
        <v>499</v>
      </c>
      <c r="E4" s="61" t="s">
        <v>513</v>
      </c>
      <c r="F4" s="64" t="s">
        <v>386</v>
      </c>
      <c r="G4" s="64" t="s">
        <v>93</v>
      </c>
      <c r="H4" s="61"/>
      <c r="I4" s="61"/>
      <c r="J4" s="61"/>
      <c r="K4" s="61"/>
      <c r="L4" s="61"/>
      <c r="M4" s="68"/>
    </row>
    <row r="5" spans="1:13" ht="1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8"/>
    </row>
    <row r="6" spans="1:13" ht="15" customHeight="1">
      <c r="A6" s="62" t="s">
        <v>53</v>
      </c>
      <c r="B6" s="61"/>
      <c r="C6" s="64" t="s">
        <v>622</v>
      </c>
      <c r="D6" s="61" t="s">
        <v>187</v>
      </c>
      <c r="E6" s="61" t="s">
        <v>513</v>
      </c>
      <c r="F6" s="64" t="s">
        <v>490</v>
      </c>
      <c r="G6" s="61" t="s">
        <v>267</v>
      </c>
      <c r="H6" s="61"/>
      <c r="I6" s="61"/>
      <c r="J6" s="61"/>
      <c r="K6" s="61"/>
      <c r="L6" s="61"/>
      <c r="M6" s="68"/>
    </row>
    <row r="7" spans="1:13" ht="1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8"/>
    </row>
    <row r="8" spans="1:13" ht="15" customHeight="1">
      <c r="A8" s="62" t="s">
        <v>279</v>
      </c>
      <c r="B8" s="61"/>
      <c r="C8" s="64" t="s">
        <v>500</v>
      </c>
      <c r="D8" s="61" t="s">
        <v>320</v>
      </c>
      <c r="E8" s="61" t="s">
        <v>508</v>
      </c>
      <c r="F8" s="64" t="s">
        <v>378</v>
      </c>
      <c r="G8" s="64" t="s">
        <v>125</v>
      </c>
      <c r="H8" s="61"/>
      <c r="I8" s="61"/>
      <c r="J8" s="61"/>
      <c r="K8" s="61"/>
      <c r="L8" s="61"/>
      <c r="M8" s="68"/>
    </row>
    <row r="9" spans="1:13" ht="1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8"/>
    </row>
    <row r="10" spans="1:64" ht="15" customHeight="1">
      <c r="A10" s="46" t="s">
        <v>48</v>
      </c>
      <c r="B10" s="5" t="s">
        <v>191</v>
      </c>
      <c r="C10" s="69" t="s">
        <v>594</v>
      </c>
      <c r="D10" s="69"/>
      <c r="E10" s="69"/>
      <c r="F10" s="70"/>
      <c r="G10" s="5" t="s">
        <v>203</v>
      </c>
      <c r="H10" s="54" t="s">
        <v>340</v>
      </c>
      <c r="I10" s="26" t="s">
        <v>186</v>
      </c>
      <c r="J10" s="73" t="s">
        <v>359</v>
      </c>
      <c r="K10" s="74"/>
      <c r="L10" s="75"/>
      <c r="M10" s="50" t="s">
        <v>166</v>
      </c>
      <c r="BK10" s="31" t="s">
        <v>228</v>
      </c>
      <c r="BL10" s="47" t="s">
        <v>295</v>
      </c>
    </row>
    <row r="11" spans="1:62" ht="15" customHeight="1">
      <c r="A11" s="48" t="s">
        <v>513</v>
      </c>
      <c r="B11" s="35" t="s">
        <v>513</v>
      </c>
      <c r="C11" s="71" t="s">
        <v>552</v>
      </c>
      <c r="D11" s="71"/>
      <c r="E11" s="71"/>
      <c r="F11" s="72"/>
      <c r="G11" s="35" t="s">
        <v>513</v>
      </c>
      <c r="H11" s="35" t="s">
        <v>513</v>
      </c>
      <c r="I11" s="3" t="s">
        <v>525</v>
      </c>
      <c r="J11" s="52" t="s">
        <v>28</v>
      </c>
      <c r="K11" s="2" t="s">
        <v>120</v>
      </c>
      <c r="L11" s="15" t="s">
        <v>62</v>
      </c>
      <c r="M11" s="15" t="s">
        <v>158</v>
      </c>
      <c r="Z11" s="31" t="s">
        <v>435</v>
      </c>
      <c r="AA11" s="31" t="s">
        <v>347</v>
      </c>
      <c r="AB11" s="31" t="s">
        <v>573</v>
      </c>
      <c r="AC11" s="31" t="s">
        <v>171</v>
      </c>
      <c r="AD11" s="31" t="s">
        <v>480</v>
      </c>
      <c r="AE11" s="31" t="s">
        <v>213</v>
      </c>
      <c r="AF11" s="31" t="s">
        <v>503</v>
      </c>
      <c r="AG11" s="31" t="s">
        <v>247</v>
      </c>
      <c r="AH11" s="31" t="s">
        <v>160</v>
      </c>
      <c r="BH11" s="31" t="s">
        <v>437</v>
      </c>
      <c r="BI11" s="31" t="s">
        <v>559</v>
      </c>
      <c r="BJ11" s="31" t="s">
        <v>607</v>
      </c>
    </row>
    <row r="12" spans="1:47" ht="15" customHeight="1">
      <c r="A12" s="20" t="s">
        <v>391</v>
      </c>
      <c r="B12" s="27" t="s">
        <v>618</v>
      </c>
      <c r="C12" s="76" t="s">
        <v>147</v>
      </c>
      <c r="D12" s="76"/>
      <c r="E12" s="76"/>
      <c r="F12" s="76"/>
      <c r="G12" s="39" t="s">
        <v>513</v>
      </c>
      <c r="H12" s="39" t="s">
        <v>513</v>
      </c>
      <c r="I12" s="39" t="s">
        <v>513</v>
      </c>
      <c r="J12" s="56">
        <f>SUM(J13:J19)</f>
        <v>0</v>
      </c>
      <c r="K12" s="56">
        <f>SUM(K13:K19)</f>
        <v>0</v>
      </c>
      <c r="L12" s="56">
        <f>SUM(L13:L19)</f>
        <v>0</v>
      </c>
      <c r="M12" s="7" t="s">
        <v>391</v>
      </c>
      <c r="AI12" s="31" t="s">
        <v>391</v>
      </c>
      <c r="AS12" s="17">
        <f>SUM(AJ13:AJ19)</f>
        <v>0</v>
      </c>
      <c r="AT12" s="17">
        <f>SUM(AK13:AK19)</f>
        <v>0</v>
      </c>
      <c r="AU12" s="17">
        <f>SUM(AL13:AL19)</f>
        <v>0</v>
      </c>
    </row>
    <row r="13" spans="1:64" ht="15" customHeight="1">
      <c r="A13" s="9" t="s">
        <v>548</v>
      </c>
      <c r="B13" s="33" t="s">
        <v>522</v>
      </c>
      <c r="C13" s="61" t="s">
        <v>583</v>
      </c>
      <c r="D13" s="61"/>
      <c r="E13" s="61"/>
      <c r="F13" s="61"/>
      <c r="G13" s="33" t="s">
        <v>543</v>
      </c>
      <c r="H13" s="40">
        <v>11.984</v>
      </c>
      <c r="I13" s="40">
        <v>0</v>
      </c>
      <c r="J13" s="40">
        <f>H13*AO13</f>
        <v>0</v>
      </c>
      <c r="K13" s="40">
        <f>H13*AP13</f>
        <v>0</v>
      </c>
      <c r="L13" s="40">
        <f>H13*I13</f>
        <v>0</v>
      </c>
      <c r="M13" s="19" t="s">
        <v>216</v>
      </c>
      <c r="Z13" s="40">
        <f>IF(AQ13="5",BJ13,0)</f>
        <v>0</v>
      </c>
      <c r="AB13" s="40">
        <f>IF(AQ13="1",BH13,0)</f>
        <v>0</v>
      </c>
      <c r="AC13" s="40">
        <f>IF(AQ13="1",BI13,0)</f>
        <v>0</v>
      </c>
      <c r="AD13" s="40">
        <f>IF(AQ13="7",BH13,0)</f>
        <v>0</v>
      </c>
      <c r="AE13" s="40">
        <f>IF(AQ13="7",BI13,0)</f>
        <v>0</v>
      </c>
      <c r="AF13" s="40">
        <f>IF(AQ13="2",BH13,0)</f>
        <v>0</v>
      </c>
      <c r="AG13" s="40">
        <f>IF(AQ13="2",BI13,0)</f>
        <v>0</v>
      </c>
      <c r="AH13" s="40">
        <f>IF(AQ13="0",BJ13,0)</f>
        <v>0</v>
      </c>
      <c r="AI13" s="31" t="s">
        <v>391</v>
      </c>
      <c r="AJ13" s="40">
        <f>IF(AN13=0,L13,0)</f>
        <v>0</v>
      </c>
      <c r="AK13" s="40">
        <f>IF(AN13=15,L13,0)</f>
        <v>0</v>
      </c>
      <c r="AL13" s="40">
        <f>IF(AN13=21,L13,0)</f>
        <v>0</v>
      </c>
      <c r="AN13" s="40">
        <v>21</v>
      </c>
      <c r="AO13" s="40">
        <f>I13*0.547599618451677</f>
        <v>0</v>
      </c>
      <c r="AP13" s="40">
        <f>I13*(1-0.547599618451677)</f>
        <v>0</v>
      </c>
      <c r="AQ13" s="38" t="s">
        <v>548</v>
      </c>
      <c r="AV13" s="40">
        <f>AW13+AX13</f>
        <v>0</v>
      </c>
      <c r="AW13" s="40">
        <f>H13*AO13</f>
        <v>0</v>
      </c>
      <c r="AX13" s="40">
        <f>H13*AP13</f>
        <v>0</v>
      </c>
      <c r="AY13" s="38" t="s">
        <v>402</v>
      </c>
      <c r="AZ13" s="38" t="s">
        <v>34</v>
      </c>
      <c r="BA13" s="31" t="s">
        <v>427</v>
      </c>
      <c r="BC13" s="40">
        <f>AW13+AX13</f>
        <v>0</v>
      </c>
      <c r="BD13" s="40">
        <f>I13/(100-BE13)*100</f>
        <v>0</v>
      </c>
      <c r="BE13" s="40">
        <v>0</v>
      </c>
      <c r="BF13" s="40">
        <f>13</f>
        <v>13</v>
      </c>
      <c r="BH13" s="40">
        <f>H13*AO13</f>
        <v>0</v>
      </c>
      <c r="BI13" s="40">
        <f>H13*AP13</f>
        <v>0</v>
      </c>
      <c r="BJ13" s="40">
        <f>H13*I13</f>
        <v>0</v>
      </c>
      <c r="BK13" s="40"/>
      <c r="BL13" s="40">
        <v>34</v>
      </c>
    </row>
    <row r="14" spans="1:13" ht="15" customHeight="1">
      <c r="A14" s="55"/>
      <c r="C14" s="14" t="s">
        <v>570</v>
      </c>
      <c r="F14" s="14" t="s">
        <v>391</v>
      </c>
      <c r="H14" s="45">
        <v>11.984000000000002</v>
      </c>
      <c r="M14" s="18"/>
    </row>
    <row r="15" spans="1:64" ht="15" customHeight="1">
      <c r="A15" s="9" t="s">
        <v>385</v>
      </c>
      <c r="B15" s="33" t="s">
        <v>599</v>
      </c>
      <c r="C15" s="61" t="s">
        <v>591</v>
      </c>
      <c r="D15" s="61"/>
      <c r="E15" s="61"/>
      <c r="F15" s="61"/>
      <c r="G15" s="33" t="s">
        <v>543</v>
      </c>
      <c r="H15" s="40">
        <v>1.657</v>
      </c>
      <c r="I15" s="40">
        <v>0</v>
      </c>
      <c r="J15" s="40">
        <f>H15*AO15</f>
        <v>0</v>
      </c>
      <c r="K15" s="40">
        <f>H15*AP15</f>
        <v>0</v>
      </c>
      <c r="L15" s="40">
        <f>H15*I15</f>
        <v>0</v>
      </c>
      <c r="M15" s="19" t="s">
        <v>216</v>
      </c>
      <c r="Z15" s="40">
        <f>IF(AQ15="5",BJ15,0)</f>
        <v>0</v>
      </c>
      <c r="AB15" s="40">
        <f>IF(AQ15="1",BH15,0)</f>
        <v>0</v>
      </c>
      <c r="AC15" s="40">
        <f>IF(AQ15="1",BI15,0)</f>
        <v>0</v>
      </c>
      <c r="AD15" s="40">
        <f>IF(AQ15="7",BH15,0)</f>
        <v>0</v>
      </c>
      <c r="AE15" s="40">
        <f>IF(AQ15="7",BI15,0)</f>
        <v>0</v>
      </c>
      <c r="AF15" s="40">
        <f>IF(AQ15="2",BH15,0)</f>
        <v>0</v>
      </c>
      <c r="AG15" s="40">
        <f>IF(AQ15="2",BI15,0)</f>
        <v>0</v>
      </c>
      <c r="AH15" s="40">
        <f>IF(AQ15="0",BJ15,0)</f>
        <v>0</v>
      </c>
      <c r="AI15" s="31" t="s">
        <v>391</v>
      </c>
      <c r="AJ15" s="40">
        <f>IF(AN15=0,L15,0)</f>
        <v>0</v>
      </c>
      <c r="AK15" s="40">
        <f>IF(AN15=15,L15,0)</f>
        <v>0</v>
      </c>
      <c r="AL15" s="40">
        <f>IF(AN15=21,L15,0)</f>
        <v>0</v>
      </c>
      <c r="AN15" s="40">
        <v>21</v>
      </c>
      <c r="AO15" s="40">
        <f>I15*0.678275502457273</f>
        <v>0</v>
      </c>
      <c r="AP15" s="40">
        <f>I15*(1-0.678275502457273)</f>
        <v>0</v>
      </c>
      <c r="AQ15" s="38" t="s">
        <v>548</v>
      </c>
      <c r="AV15" s="40">
        <f>AW15+AX15</f>
        <v>0</v>
      </c>
      <c r="AW15" s="40">
        <f>H15*AO15</f>
        <v>0</v>
      </c>
      <c r="AX15" s="40">
        <f>H15*AP15</f>
        <v>0</v>
      </c>
      <c r="AY15" s="38" t="s">
        <v>402</v>
      </c>
      <c r="AZ15" s="38" t="s">
        <v>34</v>
      </c>
      <c r="BA15" s="31" t="s">
        <v>427</v>
      </c>
      <c r="BC15" s="40">
        <f>AW15+AX15</f>
        <v>0</v>
      </c>
      <c r="BD15" s="40">
        <f>I15/(100-BE15)*100</f>
        <v>0</v>
      </c>
      <c r="BE15" s="40">
        <v>0</v>
      </c>
      <c r="BF15" s="40">
        <f>15</f>
        <v>15</v>
      </c>
      <c r="BH15" s="40">
        <f>H15*AO15</f>
        <v>0</v>
      </c>
      <c r="BI15" s="40">
        <f>H15*AP15</f>
        <v>0</v>
      </c>
      <c r="BJ15" s="40">
        <f>H15*I15</f>
        <v>0</v>
      </c>
      <c r="BK15" s="40"/>
      <c r="BL15" s="40">
        <v>34</v>
      </c>
    </row>
    <row r="16" spans="1:13" ht="15" customHeight="1">
      <c r="A16" s="55"/>
      <c r="C16" s="14" t="s">
        <v>360</v>
      </c>
      <c r="F16" s="14" t="s">
        <v>391</v>
      </c>
      <c r="H16" s="45">
        <v>1.657</v>
      </c>
      <c r="M16" s="18"/>
    </row>
    <row r="17" spans="1:64" ht="15" customHeight="1">
      <c r="A17" s="9" t="s">
        <v>484</v>
      </c>
      <c r="B17" s="33" t="s">
        <v>111</v>
      </c>
      <c r="C17" s="61" t="s">
        <v>364</v>
      </c>
      <c r="D17" s="61"/>
      <c r="E17" s="61"/>
      <c r="F17" s="61"/>
      <c r="G17" s="33" t="s">
        <v>469</v>
      </c>
      <c r="H17" s="40">
        <v>8.04</v>
      </c>
      <c r="I17" s="40">
        <v>0</v>
      </c>
      <c r="J17" s="40">
        <f>H17*AO17</f>
        <v>0</v>
      </c>
      <c r="K17" s="40">
        <f>H17*AP17</f>
        <v>0</v>
      </c>
      <c r="L17" s="40">
        <f>H17*I17</f>
        <v>0</v>
      </c>
      <c r="M17" s="19" t="s">
        <v>216</v>
      </c>
      <c r="Z17" s="40">
        <f>IF(AQ17="5",BJ17,0)</f>
        <v>0</v>
      </c>
      <c r="AB17" s="40">
        <f>IF(AQ17="1",BH17,0)</f>
        <v>0</v>
      </c>
      <c r="AC17" s="40">
        <f>IF(AQ17="1",BI17,0)</f>
        <v>0</v>
      </c>
      <c r="AD17" s="40">
        <f>IF(AQ17="7",BH17,0)</f>
        <v>0</v>
      </c>
      <c r="AE17" s="40">
        <f>IF(AQ17="7",BI17,0)</f>
        <v>0</v>
      </c>
      <c r="AF17" s="40">
        <f>IF(AQ17="2",BH17,0)</f>
        <v>0</v>
      </c>
      <c r="AG17" s="40">
        <f>IF(AQ17="2",BI17,0)</f>
        <v>0</v>
      </c>
      <c r="AH17" s="40">
        <f>IF(AQ17="0",BJ17,0)</f>
        <v>0</v>
      </c>
      <c r="AI17" s="31" t="s">
        <v>391</v>
      </c>
      <c r="AJ17" s="40">
        <f>IF(AN17=0,L17,0)</f>
        <v>0</v>
      </c>
      <c r="AK17" s="40">
        <f>IF(AN17=15,L17,0)</f>
        <v>0</v>
      </c>
      <c r="AL17" s="40">
        <f>IF(AN17=21,L17,0)</f>
        <v>0</v>
      </c>
      <c r="AN17" s="40">
        <v>21</v>
      </c>
      <c r="AO17" s="40">
        <f>I17*0.296582183186951</f>
        <v>0</v>
      </c>
      <c r="AP17" s="40">
        <f>I17*(1-0.296582183186951)</f>
        <v>0</v>
      </c>
      <c r="AQ17" s="38" t="s">
        <v>548</v>
      </c>
      <c r="AV17" s="40">
        <f>AW17+AX17</f>
        <v>0</v>
      </c>
      <c r="AW17" s="40">
        <f>H17*AO17</f>
        <v>0</v>
      </c>
      <c r="AX17" s="40">
        <f>H17*AP17</f>
        <v>0</v>
      </c>
      <c r="AY17" s="38" t="s">
        <v>402</v>
      </c>
      <c r="AZ17" s="38" t="s">
        <v>34</v>
      </c>
      <c r="BA17" s="31" t="s">
        <v>427</v>
      </c>
      <c r="BC17" s="40">
        <f>AW17+AX17</f>
        <v>0</v>
      </c>
      <c r="BD17" s="40">
        <f>I17/(100-BE17)*100</f>
        <v>0</v>
      </c>
      <c r="BE17" s="40">
        <v>0</v>
      </c>
      <c r="BF17" s="40">
        <f>17</f>
        <v>17</v>
      </c>
      <c r="BH17" s="40">
        <f>H17*AO17</f>
        <v>0</v>
      </c>
      <c r="BI17" s="40">
        <f>H17*AP17</f>
        <v>0</v>
      </c>
      <c r="BJ17" s="40">
        <f>H17*I17</f>
        <v>0</v>
      </c>
      <c r="BK17" s="40"/>
      <c r="BL17" s="40">
        <v>34</v>
      </c>
    </row>
    <row r="18" spans="1:13" ht="15" customHeight="1">
      <c r="A18" s="55"/>
      <c r="C18" s="14" t="s">
        <v>92</v>
      </c>
      <c r="F18" s="14" t="s">
        <v>391</v>
      </c>
      <c r="H18" s="45">
        <v>8.040000000000001</v>
      </c>
      <c r="M18" s="18"/>
    </row>
    <row r="19" spans="1:64" ht="15" customHeight="1">
      <c r="A19" s="9" t="s">
        <v>72</v>
      </c>
      <c r="B19" s="33" t="s">
        <v>12</v>
      </c>
      <c r="C19" s="61" t="s">
        <v>605</v>
      </c>
      <c r="D19" s="61"/>
      <c r="E19" s="61"/>
      <c r="F19" s="61"/>
      <c r="G19" s="33" t="s">
        <v>543</v>
      </c>
      <c r="H19" s="40">
        <v>0.54</v>
      </c>
      <c r="I19" s="40">
        <v>0</v>
      </c>
      <c r="J19" s="40">
        <f>H19*AO19</f>
        <v>0</v>
      </c>
      <c r="K19" s="40">
        <f>H19*AP19</f>
        <v>0</v>
      </c>
      <c r="L19" s="40">
        <f>H19*I19</f>
        <v>0</v>
      </c>
      <c r="M19" s="19" t="s">
        <v>216</v>
      </c>
      <c r="Z19" s="40">
        <f>IF(AQ19="5",BJ19,0)</f>
        <v>0</v>
      </c>
      <c r="AB19" s="40">
        <f>IF(AQ19="1",BH19,0)</f>
        <v>0</v>
      </c>
      <c r="AC19" s="40">
        <f>IF(AQ19="1",BI19,0)</f>
        <v>0</v>
      </c>
      <c r="AD19" s="40">
        <f>IF(AQ19="7",BH19,0)</f>
        <v>0</v>
      </c>
      <c r="AE19" s="40">
        <f>IF(AQ19="7",BI19,0)</f>
        <v>0</v>
      </c>
      <c r="AF19" s="40">
        <f>IF(AQ19="2",BH19,0)</f>
        <v>0</v>
      </c>
      <c r="AG19" s="40">
        <f>IF(AQ19="2",BI19,0)</f>
        <v>0</v>
      </c>
      <c r="AH19" s="40">
        <f>IF(AQ19="0",BJ19,0)</f>
        <v>0</v>
      </c>
      <c r="AI19" s="31" t="s">
        <v>391</v>
      </c>
      <c r="AJ19" s="40">
        <f>IF(AN19=0,L19,0)</f>
        <v>0</v>
      </c>
      <c r="AK19" s="40">
        <f>IF(AN19=15,L19,0)</f>
        <v>0</v>
      </c>
      <c r="AL19" s="40">
        <f>IF(AN19=21,L19,0)</f>
        <v>0</v>
      </c>
      <c r="AN19" s="40">
        <v>21</v>
      </c>
      <c r="AO19" s="40">
        <f>I19*0.524137212224566</f>
        <v>0</v>
      </c>
      <c r="AP19" s="40">
        <f>I19*(1-0.524137212224566)</f>
        <v>0</v>
      </c>
      <c r="AQ19" s="38" t="s">
        <v>548</v>
      </c>
      <c r="AV19" s="40">
        <f>AW19+AX19</f>
        <v>0</v>
      </c>
      <c r="AW19" s="40">
        <f>H19*AO19</f>
        <v>0</v>
      </c>
      <c r="AX19" s="40">
        <f>H19*AP19</f>
        <v>0</v>
      </c>
      <c r="AY19" s="38" t="s">
        <v>402</v>
      </c>
      <c r="AZ19" s="38" t="s">
        <v>34</v>
      </c>
      <c r="BA19" s="31" t="s">
        <v>427</v>
      </c>
      <c r="BC19" s="40">
        <f>AW19+AX19</f>
        <v>0</v>
      </c>
      <c r="BD19" s="40">
        <f>I19/(100-BE19)*100</f>
        <v>0</v>
      </c>
      <c r="BE19" s="40">
        <v>0</v>
      </c>
      <c r="BF19" s="40">
        <f>19</f>
        <v>19</v>
      </c>
      <c r="BH19" s="40">
        <f>H19*AO19</f>
        <v>0</v>
      </c>
      <c r="BI19" s="40">
        <f>H19*AP19</f>
        <v>0</v>
      </c>
      <c r="BJ19" s="40">
        <f>H19*I19</f>
        <v>0</v>
      </c>
      <c r="BK19" s="40"/>
      <c r="BL19" s="40">
        <v>34</v>
      </c>
    </row>
    <row r="20" spans="1:13" ht="15" customHeight="1">
      <c r="A20" s="55"/>
      <c r="C20" s="14" t="s">
        <v>116</v>
      </c>
      <c r="F20" s="14" t="s">
        <v>391</v>
      </c>
      <c r="H20" s="45">
        <v>0.54</v>
      </c>
      <c r="M20" s="18"/>
    </row>
    <row r="21" spans="1:47" ht="15" customHeight="1">
      <c r="A21" s="12" t="s">
        <v>391</v>
      </c>
      <c r="B21" s="36" t="s">
        <v>80</v>
      </c>
      <c r="C21" s="76" t="s">
        <v>136</v>
      </c>
      <c r="D21" s="76"/>
      <c r="E21" s="76"/>
      <c r="F21" s="76"/>
      <c r="G21" s="22" t="s">
        <v>513</v>
      </c>
      <c r="H21" s="22" t="s">
        <v>513</v>
      </c>
      <c r="I21" s="22" t="s">
        <v>513</v>
      </c>
      <c r="J21" s="17">
        <f>SUM(J22:J24)</f>
        <v>0</v>
      </c>
      <c r="K21" s="17">
        <f>SUM(K22:K24)</f>
        <v>0</v>
      </c>
      <c r="L21" s="17">
        <f>SUM(L22:L24)</f>
        <v>0</v>
      </c>
      <c r="M21" s="51" t="s">
        <v>391</v>
      </c>
      <c r="AI21" s="31" t="s">
        <v>391</v>
      </c>
      <c r="AS21" s="17">
        <f>SUM(AJ22:AJ24)</f>
        <v>0</v>
      </c>
      <c r="AT21" s="17">
        <f>SUM(AK22:AK24)</f>
        <v>0</v>
      </c>
      <c r="AU21" s="17">
        <f>SUM(AL22:AL24)</f>
        <v>0</v>
      </c>
    </row>
    <row r="22" spans="1:64" ht="15" customHeight="1">
      <c r="A22" s="9" t="s">
        <v>300</v>
      </c>
      <c r="B22" s="33" t="s">
        <v>604</v>
      </c>
      <c r="C22" s="61" t="s">
        <v>306</v>
      </c>
      <c r="D22" s="61"/>
      <c r="E22" s="61"/>
      <c r="F22" s="61"/>
      <c r="G22" s="33" t="s">
        <v>543</v>
      </c>
      <c r="H22" s="40">
        <v>5.896</v>
      </c>
      <c r="I22" s="40">
        <v>0</v>
      </c>
      <c r="J22" s="40">
        <f>H22*AO22</f>
        <v>0</v>
      </c>
      <c r="K22" s="40">
        <f>H22*AP22</f>
        <v>0</v>
      </c>
      <c r="L22" s="40">
        <f>H22*I22</f>
        <v>0</v>
      </c>
      <c r="M22" s="19" t="s">
        <v>325</v>
      </c>
      <c r="Z22" s="40">
        <f>IF(AQ22="5",BJ22,0)</f>
        <v>0</v>
      </c>
      <c r="AB22" s="40">
        <f>IF(AQ22="1",BH22,0)</f>
        <v>0</v>
      </c>
      <c r="AC22" s="40">
        <f>IF(AQ22="1",BI22,0)</f>
        <v>0</v>
      </c>
      <c r="AD22" s="40">
        <f>IF(AQ22="7",BH22,0)</f>
        <v>0</v>
      </c>
      <c r="AE22" s="40">
        <f>IF(AQ22="7",BI22,0)</f>
        <v>0</v>
      </c>
      <c r="AF22" s="40">
        <f>IF(AQ22="2",BH22,0)</f>
        <v>0</v>
      </c>
      <c r="AG22" s="40">
        <f>IF(AQ22="2",BI22,0)</f>
        <v>0</v>
      </c>
      <c r="AH22" s="40">
        <f>IF(AQ22="0",BJ22,0)</f>
        <v>0</v>
      </c>
      <c r="AI22" s="31" t="s">
        <v>391</v>
      </c>
      <c r="AJ22" s="40">
        <f>IF(AN22=0,L22,0)</f>
        <v>0</v>
      </c>
      <c r="AK22" s="40">
        <f>IF(AN22=15,L22,0)</f>
        <v>0</v>
      </c>
      <c r="AL22" s="40">
        <f>IF(AN22=21,L22,0)</f>
        <v>0</v>
      </c>
      <c r="AN22" s="40">
        <v>21</v>
      </c>
      <c r="AO22" s="40">
        <f>I22*0.113126766600388</f>
        <v>0</v>
      </c>
      <c r="AP22" s="40">
        <f>I22*(1-0.113126766600388)</f>
        <v>0</v>
      </c>
      <c r="AQ22" s="38" t="s">
        <v>548</v>
      </c>
      <c r="AV22" s="40">
        <f>AW22+AX22</f>
        <v>0</v>
      </c>
      <c r="AW22" s="40">
        <f>H22*AO22</f>
        <v>0</v>
      </c>
      <c r="AX22" s="40">
        <f>H22*AP22</f>
        <v>0</v>
      </c>
      <c r="AY22" s="38" t="s">
        <v>478</v>
      </c>
      <c r="AZ22" s="38" t="s">
        <v>83</v>
      </c>
      <c r="BA22" s="31" t="s">
        <v>427</v>
      </c>
      <c r="BC22" s="40">
        <f>AW22+AX22</f>
        <v>0</v>
      </c>
      <c r="BD22" s="40">
        <f>I22/(100-BE22)*100</f>
        <v>0</v>
      </c>
      <c r="BE22" s="40">
        <v>0</v>
      </c>
      <c r="BF22" s="40">
        <f>22</f>
        <v>22</v>
      </c>
      <c r="BH22" s="40">
        <f>H22*AO22</f>
        <v>0</v>
      </c>
      <c r="BI22" s="40">
        <f>H22*AP22</f>
        <v>0</v>
      </c>
      <c r="BJ22" s="40">
        <f>H22*I22</f>
        <v>0</v>
      </c>
      <c r="BK22" s="40"/>
      <c r="BL22" s="40">
        <v>60</v>
      </c>
    </row>
    <row r="23" spans="1:13" ht="15" customHeight="1">
      <c r="A23" s="55"/>
      <c r="C23" s="14" t="s">
        <v>219</v>
      </c>
      <c r="F23" s="14" t="s">
        <v>391</v>
      </c>
      <c r="H23" s="45">
        <v>5.896000000000001</v>
      </c>
      <c r="M23" s="18"/>
    </row>
    <row r="24" spans="1:64" ht="15" customHeight="1">
      <c r="A24" s="9" t="s">
        <v>100</v>
      </c>
      <c r="B24" s="33" t="s">
        <v>389</v>
      </c>
      <c r="C24" s="61" t="s">
        <v>481</v>
      </c>
      <c r="D24" s="61"/>
      <c r="E24" s="61"/>
      <c r="F24" s="61"/>
      <c r="G24" s="33" t="s">
        <v>543</v>
      </c>
      <c r="H24" s="40">
        <v>20</v>
      </c>
      <c r="I24" s="40">
        <v>0</v>
      </c>
      <c r="J24" s="40">
        <f>H24*AO24</f>
        <v>0</v>
      </c>
      <c r="K24" s="40">
        <f>H24*AP24</f>
        <v>0</v>
      </c>
      <c r="L24" s="40">
        <f>H24*I24</f>
        <v>0</v>
      </c>
      <c r="M24" s="19" t="s">
        <v>325</v>
      </c>
      <c r="Z24" s="40">
        <f>IF(AQ24="5",BJ24,0)</f>
        <v>0</v>
      </c>
      <c r="AB24" s="40">
        <f>IF(AQ24="1",BH24,0)</f>
        <v>0</v>
      </c>
      <c r="AC24" s="40">
        <f>IF(AQ24="1",BI24,0)</f>
        <v>0</v>
      </c>
      <c r="AD24" s="40">
        <f>IF(AQ24="7",BH24,0)</f>
        <v>0</v>
      </c>
      <c r="AE24" s="40">
        <f>IF(AQ24="7",BI24,0)</f>
        <v>0</v>
      </c>
      <c r="AF24" s="40">
        <f>IF(AQ24="2",BH24,0)</f>
        <v>0</v>
      </c>
      <c r="AG24" s="40">
        <f>IF(AQ24="2",BI24,0)</f>
        <v>0</v>
      </c>
      <c r="AH24" s="40">
        <f>IF(AQ24="0",BJ24,0)</f>
        <v>0</v>
      </c>
      <c r="AI24" s="31" t="s">
        <v>391</v>
      </c>
      <c r="AJ24" s="40">
        <f>IF(AN24=0,L24,0)</f>
        <v>0</v>
      </c>
      <c r="AK24" s="40">
        <f>IF(AN24=15,L24,0)</f>
        <v>0</v>
      </c>
      <c r="AL24" s="40">
        <f>IF(AN24=21,L24,0)</f>
        <v>0</v>
      </c>
      <c r="AN24" s="40">
        <v>21</v>
      </c>
      <c r="AO24" s="40">
        <f>I24*0.532157968970381</f>
        <v>0</v>
      </c>
      <c r="AP24" s="40">
        <f>I24*(1-0.532157968970381)</f>
        <v>0</v>
      </c>
      <c r="AQ24" s="38" t="s">
        <v>548</v>
      </c>
      <c r="AV24" s="40">
        <f>AW24+AX24</f>
        <v>0</v>
      </c>
      <c r="AW24" s="40">
        <f>H24*AO24</f>
        <v>0</v>
      </c>
      <c r="AX24" s="40">
        <f>H24*AP24</f>
        <v>0</v>
      </c>
      <c r="AY24" s="38" t="s">
        <v>478</v>
      </c>
      <c r="AZ24" s="38" t="s">
        <v>83</v>
      </c>
      <c r="BA24" s="31" t="s">
        <v>427</v>
      </c>
      <c r="BC24" s="40">
        <f>AW24+AX24</f>
        <v>0</v>
      </c>
      <c r="BD24" s="40">
        <f>I24/(100-BE24)*100</f>
        <v>0</v>
      </c>
      <c r="BE24" s="40">
        <v>0</v>
      </c>
      <c r="BF24" s="40">
        <f>24</f>
        <v>24</v>
      </c>
      <c r="BH24" s="40">
        <f>H24*AO24</f>
        <v>0</v>
      </c>
      <c r="BI24" s="40">
        <f>H24*AP24</f>
        <v>0</v>
      </c>
      <c r="BJ24" s="40">
        <f>H24*I24</f>
        <v>0</v>
      </c>
      <c r="BK24" s="40"/>
      <c r="BL24" s="40">
        <v>60</v>
      </c>
    </row>
    <row r="25" spans="1:47" ht="15" customHeight="1">
      <c r="A25" s="12" t="s">
        <v>391</v>
      </c>
      <c r="B25" s="36" t="s">
        <v>409</v>
      </c>
      <c r="C25" s="76" t="s">
        <v>406</v>
      </c>
      <c r="D25" s="76"/>
      <c r="E25" s="76"/>
      <c r="F25" s="76"/>
      <c r="G25" s="22" t="s">
        <v>513</v>
      </c>
      <c r="H25" s="22" t="s">
        <v>513</v>
      </c>
      <c r="I25" s="22" t="s">
        <v>513</v>
      </c>
      <c r="J25" s="17">
        <f>SUM(J26:J33)</f>
        <v>0</v>
      </c>
      <c r="K25" s="17">
        <f>SUM(K26:K33)</f>
        <v>0</v>
      </c>
      <c r="L25" s="17">
        <f>SUM(L26:L33)</f>
        <v>0</v>
      </c>
      <c r="M25" s="51" t="s">
        <v>391</v>
      </c>
      <c r="AI25" s="31" t="s">
        <v>391</v>
      </c>
      <c r="AS25" s="17">
        <f>SUM(AJ26:AJ33)</f>
        <v>0</v>
      </c>
      <c r="AT25" s="17">
        <f>SUM(AK26:AK33)</f>
        <v>0</v>
      </c>
      <c r="AU25" s="17">
        <f>SUM(AL26:AL33)</f>
        <v>0</v>
      </c>
    </row>
    <row r="26" spans="1:64" ht="15" customHeight="1">
      <c r="A26" s="9" t="s">
        <v>550</v>
      </c>
      <c r="B26" s="33" t="s">
        <v>326</v>
      </c>
      <c r="C26" s="61" t="s">
        <v>351</v>
      </c>
      <c r="D26" s="61"/>
      <c r="E26" s="61"/>
      <c r="F26" s="61"/>
      <c r="G26" s="33" t="s">
        <v>469</v>
      </c>
      <c r="H26" s="40">
        <v>20</v>
      </c>
      <c r="I26" s="40">
        <v>0</v>
      </c>
      <c r="J26" s="40">
        <f>H26*AO26</f>
        <v>0</v>
      </c>
      <c r="K26" s="40">
        <f>H26*AP26</f>
        <v>0</v>
      </c>
      <c r="L26" s="40">
        <f>H26*I26</f>
        <v>0</v>
      </c>
      <c r="M26" s="19" t="s">
        <v>216</v>
      </c>
      <c r="Z26" s="40">
        <f>IF(AQ26="5",BJ26,0)</f>
        <v>0</v>
      </c>
      <c r="AB26" s="40">
        <f>IF(AQ26="1",BH26,0)</f>
        <v>0</v>
      </c>
      <c r="AC26" s="40">
        <f>IF(AQ26="1",BI26,0)</f>
        <v>0</v>
      </c>
      <c r="AD26" s="40">
        <f>IF(AQ26="7",BH26,0)</f>
        <v>0</v>
      </c>
      <c r="AE26" s="40">
        <f>IF(AQ26="7",BI26,0)</f>
        <v>0</v>
      </c>
      <c r="AF26" s="40">
        <f>IF(AQ26="2",BH26,0)</f>
        <v>0</v>
      </c>
      <c r="AG26" s="40">
        <f>IF(AQ26="2",BI26,0)</f>
        <v>0</v>
      </c>
      <c r="AH26" s="40">
        <f>IF(AQ26="0",BJ26,0)</f>
        <v>0</v>
      </c>
      <c r="AI26" s="31" t="s">
        <v>391</v>
      </c>
      <c r="AJ26" s="40">
        <f>IF(AN26=0,L26,0)</f>
        <v>0</v>
      </c>
      <c r="AK26" s="40">
        <f>IF(AN26=15,L26,0)</f>
        <v>0</v>
      </c>
      <c r="AL26" s="40">
        <f>IF(AN26=21,L26,0)</f>
        <v>0</v>
      </c>
      <c r="AN26" s="40">
        <v>21</v>
      </c>
      <c r="AO26" s="40">
        <f>I26*0.215968289920725</f>
        <v>0</v>
      </c>
      <c r="AP26" s="40">
        <f>I26*(1-0.215968289920725)</f>
        <v>0</v>
      </c>
      <c r="AQ26" s="38" t="s">
        <v>548</v>
      </c>
      <c r="AV26" s="40">
        <f>AW26+AX26</f>
        <v>0</v>
      </c>
      <c r="AW26" s="40">
        <f>H26*AO26</f>
        <v>0</v>
      </c>
      <c r="AX26" s="40">
        <f>H26*AP26</f>
        <v>0</v>
      </c>
      <c r="AY26" s="38" t="s">
        <v>352</v>
      </c>
      <c r="AZ26" s="38" t="s">
        <v>83</v>
      </c>
      <c r="BA26" s="31" t="s">
        <v>427</v>
      </c>
      <c r="BC26" s="40">
        <f>AW26+AX26</f>
        <v>0</v>
      </c>
      <c r="BD26" s="40">
        <f>I26/(100-BE26)*100</f>
        <v>0</v>
      </c>
      <c r="BE26" s="40">
        <v>0</v>
      </c>
      <c r="BF26" s="40">
        <f>26</f>
        <v>26</v>
      </c>
      <c r="BH26" s="40">
        <f>H26*AO26</f>
        <v>0</v>
      </c>
      <c r="BI26" s="40">
        <f>H26*AP26</f>
        <v>0</v>
      </c>
      <c r="BJ26" s="40">
        <f>H26*I26</f>
        <v>0</v>
      </c>
      <c r="BK26" s="40"/>
      <c r="BL26" s="40">
        <v>61</v>
      </c>
    </row>
    <row r="27" spans="1:13" ht="15" customHeight="1">
      <c r="A27" s="55"/>
      <c r="C27" s="14" t="s">
        <v>575</v>
      </c>
      <c r="F27" s="14" t="s">
        <v>391</v>
      </c>
      <c r="H27" s="45">
        <v>20</v>
      </c>
      <c r="M27" s="18"/>
    </row>
    <row r="28" spans="1:64" ht="15" customHeight="1">
      <c r="A28" s="9" t="s">
        <v>442</v>
      </c>
      <c r="B28" s="33" t="s">
        <v>617</v>
      </c>
      <c r="C28" s="61" t="s">
        <v>174</v>
      </c>
      <c r="D28" s="61"/>
      <c r="E28" s="61"/>
      <c r="F28" s="61"/>
      <c r="G28" s="33" t="s">
        <v>543</v>
      </c>
      <c r="H28" s="40">
        <v>3</v>
      </c>
      <c r="I28" s="40">
        <v>0</v>
      </c>
      <c r="J28" s="40">
        <f>H28*AO28</f>
        <v>0</v>
      </c>
      <c r="K28" s="40">
        <f>H28*AP28</f>
        <v>0</v>
      </c>
      <c r="L28" s="40">
        <f>H28*I28</f>
        <v>0</v>
      </c>
      <c r="M28" s="19" t="s">
        <v>216</v>
      </c>
      <c r="Z28" s="40">
        <f>IF(AQ28="5",BJ28,0)</f>
        <v>0</v>
      </c>
      <c r="AB28" s="40">
        <f>IF(AQ28="1",BH28,0)</f>
        <v>0</v>
      </c>
      <c r="AC28" s="40">
        <f>IF(AQ28="1",BI28,0)</f>
        <v>0</v>
      </c>
      <c r="AD28" s="40">
        <f>IF(AQ28="7",BH28,0)</f>
        <v>0</v>
      </c>
      <c r="AE28" s="40">
        <f>IF(AQ28="7",BI28,0)</f>
        <v>0</v>
      </c>
      <c r="AF28" s="40">
        <f>IF(AQ28="2",BH28,0)</f>
        <v>0</v>
      </c>
      <c r="AG28" s="40">
        <f>IF(AQ28="2",BI28,0)</f>
        <v>0</v>
      </c>
      <c r="AH28" s="40">
        <f>IF(AQ28="0",BJ28,0)</f>
        <v>0</v>
      </c>
      <c r="AI28" s="31" t="s">
        <v>391</v>
      </c>
      <c r="AJ28" s="40">
        <f>IF(AN28=0,L28,0)</f>
        <v>0</v>
      </c>
      <c r="AK28" s="40">
        <f>IF(AN28=15,L28,0)</f>
        <v>0</v>
      </c>
      <c r="AL28" s="40">
        <f>IF(AN28=21,L28,0)</f>
        <v>0</v>
      </c>
      <c r="AN28" s="40">
        <v>21</v>
      </c>
      <c r="AO28" s="40">
        <f>I28*0.214928376984466</f>
        <v>0</v>
      </c>
      <c r="AP28" s="40">
        <f>I28*(1-0.214928376984466)</f>
        <v>0</v>
      </c>
      <c r="AQ28" s="38" t="s">
        <v>548</v>
      </c>
      <c r="AV28" s="40">
        <f>AW28+AX28</f>
        <v>0</v>
      </c>
      <c r="AW28" s="40">
        <f>H28*AO28</f>
        <v>0</v>
      </c>
      <c r="AX28" s="40">
        <f>H28*AP28</f>
        <v>0</v>
      </c>
      <c r="AY28" s="38" t="s">
        <v>352</v>
      </c>
      <c r="AZ28" s="38" t="s">
        <v>83</v>
      </c>
      <c r="BA28" s="31" t="s">
        <v>427</v>
      </c>
      <c r="BC28" s="40">
        <f>AW28+AX28</f>
        <v>0</v>
      </c>
      <c r="BD28" s="40">
        <f>I28/(100-BE28)*100</f>
        <v>0</v>
      </c>
      <c r="BE28" s="40">
        <v>0</v>
      </c>
      <c r="BF28" s="40">
        <f>28</f>
        <v>28</v>
      </c>
      <c r="BH28" s="40">
        <f>H28*AO28</f>
        <v>0</v>
      </c>
      <c r="BI28" s="40">
        <f>H28*AP28</f>
        <v>0</v>
      </c>
      <c r="BJ28" s="40">
        <f>H28*I28</f>
        <v>0</v>
      </c>
      <c r="BK28" s="40"/>
      <c r="BL28" s="40">
        <v>61</v>
      </c>
    </row>
    <row r="29" spans="1:13" ht="15" customHeight="1">
      <c r="A29" s="55"/>
      <c r="C29" s="14" t="s">
        <v>527</v>
      </c>
      <c r="F29" s="14" t="s">
        <v>391</v>
      </c>
      <c r="H29" s="45">
        <v>3.0000000000000004</v>
      </c>
      <c r="M29" s="18"/>
    </row>
    <row r="30" spans="1:64" ht="15" customHeight="1">
      <c r="A30" s="9" t="s">
        <v>217</v>
      </c>
      <c r="B30" s="33" t="s">
        <v>212</v>
      </c>
      <c r="C30" s="61" t="s">
        <v>379</v>
      </c>
      <c r="D30" s="61"/>
      <c r="E30" s="61"/>
      <c r="F30" s="61"/>
      <c r="G30" s="33" t="s">
        <v>543</v>
      </c>
      <c r="H30" s="40">
        <v>15.285</v>
      </c>
      <c r="I30" s="40">
        <v>0</v>
      </c>
      <c r="J30" s="40">
        <f>H30*AO30</f>
        <v>0</v>
      </c>
      <c r="K30" s="40">
        <f>H30*AP30</f>
        <v>0</v>
      </c>
      <c r="L30" s="40">
        <f>H30*I30</f>
        <v>0</v>
      </c>
      <c r="M30" s="19" t="s">
        <v>216</v>
      </c>
      <c r="Z30" s="40">
        <f>IF(AQ30="5",BJ30,0)</f>
        <v>0</v>
      </c>
      <c r="AB30" s="40">
        <f>IF(AQ30="1",BH30,0)</f>
        <v>0</v>
      </c>
      <c r="AC30" s="40">
        <f>IF(AQ30="1",BI30,0)</f>
        <v>0</v>
      </c>
      <c r="AD30" s="40">
        <f>IF(AQ30="7",BH30,0)</f>
        <v>0</v>
      </c>
      <c r="AE30" s="40">
        <f>IF(AQ30="7",BI30,0)</f>
        <v>0</v>
      </c>
      <c r="AF30" s="40">
        <f>IF(AQ30="2",BH30,0)</f>
        <v>0</v>
      </c>
      <c r="AG30" s="40">
        <f>IF(AQ30="2",BI30,0)</f>
        <v>0</v>
      </c>
      <c r="AH30" s="40">
        <f>IF(AQ30="0",BJ30,0)</f>
        <v>0</v>
      </c>
      <c r="AI30" s="31" t="s">
        <v>391</v>
      </c>
      <c r="AJ30" s="40">
        <f>IF(AN30=0,L30,0)</f>
        <v>0</v>
      </c>
      <c r="AK30" s="40">
        <f>IF(AN30=15,L30,0)</f>
        <v>0</v>
      </c>
      <c r="AL30" s="40">
        <f>IF(AN30=21,L30,0)</f>
        <v>0</v>
      </c>
      <c r="AN30" s="40">
        <v>21</v>
      </c>
      <c r="AO30" s="40">
        <f>I30*0.131153239934726</f>
        <v>0</v>
      </c>
      <c r="AP30" s="40">
        <f>I30*(1-0.131153239934726)</f>
        <v>0</v>
      </c>
      <c r="AQ30" s="38" t="s">
        <v>548</v>
      </c>
      <c r="AV30" s="40">
        <f>AW30+AX30</f>
        <v>0</v>
      </c>
      <c r="AW30" s="40">
        <f>H30*AO30</f>
        <v>0</v>
      </c>
      <c r="AX30" s="40">
        <f>H30*AP30</f>
        <v>0</v>
      </c>
      <c r="AY30" s="38" t="s">
        <v>352</v>
      </c>
      <c r="AZ30" s="38" t="s">
        <v>83</v>
      </c>
      <c r="BA30" s="31" t="s">
        <v>427</v>
      </c>
      <c r="BC30" s="40">
        <f>AW30+AX30</f>
        <v>0</v>
      </c>
      <c r="BD30" s="40">
        <f>I30/(100-BE30)*100</f>
        <v>0</v>
      </c>
      <c r="BE30" s="40">
        <v>0</v>
      </c>
      <c r="BF30" s="40">
        <f>30</f>
        <v>30</v>
      </c>
      <c r="BH30" s="40">
        <f>H30*AO30</f>
        <v>0</v>
      </c>
      <c r="BI30" s="40">
        <f>H30*AP30</f>
        <v>0</v>
      </c>
      <c r="BJ30" s="40">
        <f>H30*I30</f>
        <v>0</v>
      </c>
      <c r="BK30" s="40"/>
      <c r="BL30" s="40">
        <v>61</v>
      </c>
    </row>
    <row r="31" spans="1:13" ht="15" customHeight="1">
      <c r="A31" s="55"/>
      <c r="C31" s="14" t="s">
        <v>220</v>
      </c>
      <c r="F31" s="14" t="s">
        <v>391</v>
      </c>
      <c r="H31" s="45">
        <v>1.8</v>
      </c>
      <c r="M31" s="18"/>
    </row>
    <row r="32" spans="1:13" ht="15" customHeight="1">
      <c r="A32" s="55"/>
      <c r="C32" s="14" t="s">
        <v>22</v>
      </c>
      <c r="F32" s="14" t="s">
        <v>391</v>
      </c>
      <c r="H32" s="45">
        <v>13.485000000000001</v>
      </c>
      <c r="M32" s="18"/>
    </row>
    <row r="33" spans="1:64" ht="15" customHeight="1">
      <c r="A33" s="9" t="s">
        <v>329</v>
      </c>
      <c r="B33" s="33" t="s">
        <v>561</v>
      </c>
      <c r="C33" s="61" t="s">
        <v>401</v>
      </c>
      <c r="D33" s="61"/>
      <c r="E33" s="61"/>
      <c r="F33" s="61"/>
      <c r="G33" s="33" t="s">
        <v>543</v>
      </c>
      <c r="H33" s="40">
        <v>17.152</v>
      </c>
      <c r="I33" s="40">
        <v>0</v>
      </c>
      <c r="J33" s="40">
        <f>H33*AO33</f>
        <v>0</v>
      </c>
      <c r="K33" s="40">
        <f>H33*AP33</f>
        <v>0</v>
      </c>
      <c r="L33" s="40">
        <f>H33*I33</f>
        <v>0</v>
      </c>
      <c r="M33" s="19" t="s">
        <v>216</v>
      </c>
      <c r="Z33" s="40">
        <f>IF(AQ33="5",BJ33,0)</f>
        <v>0</v>
      </c>
      <c r="AB33" s="40">
        <f>IF(AQ33="1",BH33,0)</f>
        <v>0</v>
      </c>
      <c r="AC33" s="40">
        <f>IF(AQ33="1",BI33,0)</f>
        <v>0</v>
      </c>
      <c r="AD33" s="40">
        <f>IF(AQ33="7",BH33,0)</f>
        <v>0</v>
      </c>
      <c r="AE33" s="40">
        <f>IF(AQ33="7",BI33,0)</f>
        <v>0</v>
      </c>
      <c r="AF33" s="40">
        <f>IF(AQ33="2",BH33,0)</f>
        <v>0</v>
      </c>
      <c r="AG33" s="40">
        <f>IF(AQ33="2",BI33,0)</f>
        <v>0</v>
      </c>
      <c r="AH33" s="40">
        <f>IF(AQ33="0",BJ33,0)</f>
        <v>0</v>
      </c>
      <c r="AI33" s="31" t="s">
        <v>391</v>
      </c>
      <c r="AJ33" s="40">
        <f>IF(AN33=0,L33,0)</f>
        <v>0</v>
      </c>
      <c r="AK33" s="40">
        <f>IF(AN33=15,L33,0)</f>
        <v>0</v>
      </c>
      <c r="AL33" s="40">
        <f>IF(AN33=21,L33,0)</f>
        <v>0</v>
      </c>
      <c r="AN33" s="40">
        <v>21</v>
      </c>
      <c r="AO33" s="40">
        <f>I33*0.105012994066799</f>
        <v>0</v>
      </c>
      <c r="AP33" s="40">
        <f>I33*(1-0.105012994066799)</f>
        <v>0</v>
      </c>
      <c r="AQ33" s="38" t="s">
        <v>548</v>
      </c>
      <c r="AV33" s="40">
        <f>AW33+AX33</f>
        <v>0</v>
      </c>
      <c r="AW33" s="40">
        <f>H33*AO33</f>
        <v>0</v>
      </c>
      <c r="AX33" s="40">
        <f>H33*AP33</f>
        <v>0</v>
      </c>
      <c r="AY33" s="38" t="s">
        <v>352</v>
      </c>
      <c r="AZ33" s="38" t="s">
        <v>83</v>
      </c>
      <c r="BA33" s="31" t="s">
        <v>427</v>
      </c>
      <c r="BC33" s="40">
        <f>AW33+AX33</f>
        <v>0</v>
      </c>
      <c r="BD33" s="40">
        <f>I33/(100-BE33)*100</f>
        <v>0</v>
      </c>
      <c r="BE33" s="40">
        <v>0</v>
      </c>
      <c r="BF33" s="40">
        <f>33</f>
        <v>33</v>
      </c>
      <c r="BH33" s="40">
        <f>H33*AO33</f>
        <v>0</v>
      </c>
      <c r="BI33" s="40">
        <f>H33*AP33</f>
        <v>0</v>
      </c>
      <c r="BJ33" s="40">
        <f>H33*I33</f>
        <v>0</v>
      </c>
      <c r="BK33" s="40"/>
      <c r="BL33" s="40">
        <v>61</v>
      </c>
    </row>
    <row r="34" spans="1:13" ht="15" customHeight="1">
      <c r="A34" s="55"/>
      <c r="C34" s="14" t="s">
        <v>343</v>
      </c>
      <c r="F34" s="14" t="s">
        <v>391</v>
      </c>
      <c r="H34" s="45">
        <v>5.384</v>
      </c>
      <c r="M34" s="18"/>
    </row>
    <row r="35" spans="1:13" ht="15" customHeight="1">
      <c r="A35" s="55"/>
      <c r="C35" s="14" t="s">
        <v>288</v>
      </c>
      <c r="F35" s="14" t="s">
        <v>391</v>
      </c>
      <c r="H35" s="45">
        <v>11.768</v>
      </c>
      <c r="M35" s="18"/>
    </row>
    <row r="36" spans="1:47" ht="15" customHeight="1">
      <c r="A36" s="12" t="s">
        <v>391</v>
      </c>
      <c r="B36" s="36" t="s">
        <v>37</v>
      </c>
      <c r="C36" s="76" t="s">
        <v>623</v>
      </c>
      <c r="D36" s="76"/>
      <c r="E36" s="76"/>
      <c r="F36" s="76"/>
      <c r="G36" s="22" t="s">
        <v>513</v>
      </c>
      <c r="H36" s="22" t="s">
        <v>513</v>
      </c>
      <c r="I36" s="22" t="s">
        <v>513</v>
      </c>
      <c r="J36" s="17">
        <f>SUM(J37:J41)</f>
        <v>0</v>
      </c>
      <c r="K36" s="17">
        <f>SUM(K37:K41)</f>
        <v>0</v>
      </c>
      <c r="L36" s="17">
        <f>SUM(L37:L41)</f>
        <v>0</v>
      </c>
      <c r="M36" s="51" t="s">
        <v>391</v>
      </c>
      <c r="AI36" s="31" t="s">
        <v>391</v>
      </c>
      <c r="AS36" s="17">
        <f>SUM(AJ37:AJ41)</f>
        <v>0</v>
      </c>
      <c r="AT36" s="17">
        <f>SUM(AK37:AK41)</f>
        <v>0</v>
      </c>
      <c r="AU36" s="17">
        <f>SUM(AL37:AL41)</f>
        <v>0</v>
      </c>
    </row>
    <row r="37" spans="1:64" ht="15" customHeight="1">
      <c r="A37" s="9" t="s">
        <v>471</v>
      </c>
      <c r="B37" s="33" t="s">
        <v>587</v>
      </c>
      <c r="C37" s="61" t="s">
        <v>602</v>
      </c>
      <c r="D37" s="61"/>
      <c r="E37" s="61"/>
      <c r="F37" s="61"/>
      <c r="G37" s="33" t="s">
        <v>543</v>
      </c>
      <c r="H37" s="40">
        <v>3.148</v>
      </c>
      <c r="I37" s="40">
        <v>0</v>
      </c>
      <c r="J37" s="40">
        <f>H37*AO37</f>
        <v>0</v>
      </c>
      <c r="K37" s="40">
        <f>H37*AP37</f>
        <v>0</v>
      </c>
      <c r="L37" s="40">
        <f>H37*I37</f>
        <v>0</v>
      </c>
      <c r="M37" s="19" t="s">
        <v>216</v>
      </c>
      <c r="Z37" s="40">
        <f>IF(AQ37="5",BJ37,0)</f>
        <v>0</v>
      </c>
      <c r="AB37" s="40">
        <f>IF(AQ37="1",BH37,0)</f>
        <v>0</v>
      </c>
      <c r="AC37" s="40">
        <f>IF(AQ37="1",BI37,0)</f>
        <v>0</v>
      </c>
      <c r="AD37" s="40">
        <f>IF(AQ37="7",BH37,0)</f>
        <v>0</v>
      </c>
      <c r="AE37" s="40">
        <f>IF(AQ37="7",BI37,0)</f>
        <v>0</v>
      </c>
      <c r="AF37" s="40">
        <f>IF(AQ37="2",BH37,0)</f>
        <v>0</v>
      </c>
      <c r="AG37" s="40">
        <f>IF(AQ37="2",BI37,0)</f>
        <v>0</v>
      </c>
      <c r="AH37" s="40">
        <f>IF(AQ37="0",BJ37,0)</f>
        <v>0</v>
      </c>
      <c r="AI37" s="31" t="s">
        <v>391</v>
      </c>
      <c r="AJ37" s="40">
        <f>IF(AN37=0,L37,0)</f>
        <v>0</v>
      </c>
      <c r="AK37" s="40">
        <f>IF(AN37=15,L37,0)</f>
        <v>0</v>
      </c>
      <c r="AL37" s="40">
        <f>IF(AN37=21,L37,0)</f>
        <v>0</v>
      </c>
      <c r="AN37" s="40">
        <v>21</v>
      </c>
      <c r="AO37" s="40">
        <f>I37*0.615040589459449</f>
        <v>0</v>
      </c>
      <c r="AP37" s="40">
        <f>I37*(1-0.615040589459449)</f>
        <v>0</v>
      </c>
      <c r="AQ37" s="38" t="s">
        <v>550</v>
      </c>
      <c r="AV37" s="40">
        <f>AW37+AX37</f>
        <v>0</v>
      </c>
      <c r="AW37" s="40">
        <f>H37*AO37</f>
        <v>0</v>
      </c>
      <c r="AX37" s="40">
        <f>H37*AP37</f>
        <v>0</v>
      </c>
      <c r="AY37" s="38" t="s">
        <v>485</v>
      </c>
      <c r="AZ37" s="38" t="s">
        <v>459</v>
      </c>
      <c r="BA37" s="31" t="s">
        <v>427</v>
      </c>
      <c r="BC37" s="40">
        <f>AW37+AX37</f>
        <v>0</v>
      </c>
      <c r="BD37" s="40">
        <f>I37/(100-BE37)*100</f>
        <v>0</v>
      </c>
      <c r="BE37" s="40">
        <v>0</v>
      </c>
      <c r="BF37" s="40">
        <f>37</f>
        <v>37</v>
      </c>
      <c r="BH37" s="40">
        <f>H37*AO37</f>
        <v>0</v>
      </c>
      <c r="BI37" s="40">
        <f>H37*AP37</f>
        <v>0</v>
      </c>
      <c r="BJ37" s="40">
        <f>H37*I37</f>
        <v>0</v>
      </c>
      <c r="BK37" s="40"/>
      <c r="BL37" s="40">
        <v>711</v>
      </c>
    </row>
    <row r="38" spans="1:13" ht="15" customHeight="1">
      <c r="A38" s="55"/>
      <c r="C38" s="14" t="s">
        <v>441</v>
      </c>
      <c r="F38" s="14" t="s">
        <v>391</v>
      </c>
      <c r="H38" s="45">
        <v>3.148</v>
      </c>
      <c r="M38" s="18"/>
    </row>
    <row r="39" spans="1:64" ht="15" customHeight="1">
      <c r="A39" s="9" t="s">
        <v>414</v>
      </c>
      <c r="B39" s="33" t="s">
        <v>309</v>
      </c>
      <c r="C39" s="61" t="s">
        <v>487</v>
      </c>
      <c r="D39" s="61"/>
      <c r="E39" s="61"/>
      <c r="F39" s="61"/>
      <c r="G39" s="33" t="s">
        <v>469</v>
      </c>
      <c r="H39" s="40">
        <v>7.58</v>
      </c>
      <c r="I39" s="40">
        <v>0</v>
      </c>
      <c r="J39" s="40">
        <f>H39*AO39</f>
        <v>0</v>
      </c>
      <c r="K39" s="40">
        <f>H39*AP39</f>
        <v>0</v>
      </c>
      <c r="L39" s="40">
        <f>H39*I39</f>
        <v>0</v>
      </c>
      <c r="M39" s="19" t="s">
        <v>216</v>
      </c>
      <c r="Z39" s="40">
        <f>IF(AQ39="5",BJ39,0)</f>
        <v>0</v>
      </c>
      <c r="AB39" s="40">
        <f>IF(AQ39="1",BH39,0)</f>
        <v>0</v>
      </c>
      <c r="AC39" s="40">
        <f>IF(AQ39="1",BI39,0)</f>
        <v>0</v>
      </c>
      <c r="AD39" s="40">
        <f>IF(AQ39="7",BH39,0)</f>
        <v>0</v>
      </c>
      <c r="AE39" s="40">
        <f>IF(AQ39="7",BI39,0)</f>
        <v>0</v>
      </c>
      <c r="AF39" s="40">
        <f>IF(AQ39="2",BH39,0)</f>
        <v>0</v>
      </c>
      <c r="AG39" s="40">
        <f>IF(AQ39="2",BI39,0)</f>
        <v>0</v>
      </c>
      <c r="AH39" s="40">
        <f>IF(AQ39="0",BJ39,0)</f>
        <v>0</v>
      </c>
      <c r="AI39" s="31" t="s">
        <v>391</v>
      </c>
      <c r="AJ39" s="40">
        <f>IF(AN39=0,L39,0)</f>
        <v>0</v>
      </c>
      <c r="AK39" s="40">
        <f>IF(AN39=15,L39,0)</f>
        <v>0</v>
      </c>
      <c r="AL39" s="40">
        <f>IF(AN39=21,L39,0)</f>
        <v>0</v>
      </c>
      <c r="AN39" s="40">
        <v>21</v>
      </c>
      <c r="AO39" s="40">
        <f>I39*0.61170224877561</f>
        <v>0</v>
      </c>
      <c r="AP39" s="40">
        <f>I39*(1-0.61170224877561)</f>
        <v>0</v>
      </c>
      <c r="AQ39" s="38" t="s">
        <v>550</v>
      </c>
      <c r="AV39" s="40">
        <f>AW39+AX39</f>
        <v>0</v>
      </c>
      <c r="AW39" s="40">
        <f>H39*AO39</f>
        <v>0</v>
      </c>
      <c r="AX39" s="40">
        <f>H39*AP39</f>
        <v>0</v>
      </c>
      <c r="AY39" s="38" t="s">
        <v>485</v>
      </c>
      <c r="AZ39" s="38" t="s">
        <v>459</v>
      </c>
      <c r="BA39" s="31" t="s">
        <v>427</v>
      </c>
      <c r="BC39" s="40">
        <f>AW39+AX39</f>
        <v>0</v>
      </c>
      <c r="BD39" s="40">
        <f>I39/(100-BE39)*100</f>
        <v>0</v>
      </c>
      <c r="BE39" s="40">
        <v>0</v>
      </c>
      <c r="BF39" s="40">
        <f>39</f>
        <v>39</v>
      </c>
      <c r="BH39" s="40">
        <f>H39*AO39</f>
        <v>0</v>
      </c>
      <c r="BI39" s="40">
        <f>H39*AP39</f>
        <v>0</v>
      </c>
      <c r="BJ39" s="40">
        <f>H39*I39</f>
        <v>0</v>
      </c>
      <c r="BK39" s="40"/>
      <c r="BL39" s="40">
        <v>711</v>
      </c>
    </row>
    <row r="40" spans="1:13" ht="15" customHeight="1">
      <c r="A40" s="55"/>
      <c r="C40" s="14" t="s">
        <v>553</v>
      </c>
      <c r="F40" s="14" t="s">
        <v>391</v>
      </c>
      <c r="H40" s="45">
        <v>7.580000000000001</v>
      </c>
      <c r="M40" s="18"/>
    </row>
    <row r="41" spans="1:64" ht="15" customHeight="1">
      <c r="A41" s="9" t="s">
        <v>176</v>
      </c>
      <c r="B41" s="33" t="s">
        <v>404</v>
      </c>
      <c r="C41" s="61" t="s">
        <v>438</v>
      </c>
      <c r="D41" s="61"/>
      <c r="E41" s="61"/>
      <c r="F41" s="61"/>
      <c r="G41" s="33" t="s">
        <v>491</v>
      </c>
      <c r="H41" s="40">
        <v>3.85</v>
      </c>
      <c r="I41" s="40">
        <v>0</v>
      </c>
      <c r="J41" s="40">
        <f>H41*AO41</f>
        <v>0</v>
      </c>
      <c r="K41" s="40">
        <f>H41*AP41</f>
        <v>0</v>
      </c>
      <c r="L41" s="40">
        <f>H41*I41</f>
        <v>0</v>
      </c>
      <c r="M41" s="19" t="s">
        <v>216</v>
      </c>
      <c r="Z41" s="40">
        <f>IF(AQ41="5",BJ41,0)</f>
        <v>0</v>
      </c>
      <c r="AB41" s="40">
        <f>IF(AQ41="1",BH41,0)</f>
        <v>0</v>
      </c>
      <c r="AC41" s="40">
        <f>IF(AQ41="1",BI41,0)</f>
        <v>0</v>
      </c>
      <c r="AD41" s="40">
        <f>IF(AQ41="7",BH41,0)</f>
        <v>0</v>
      </c>
      <c r="AE41" s="40">
        <f>IF(AQ41="7",BI41,0)</f>
        <v>0</v>
      </c>
      <c r="AF41" s="40">
        <f>IF(AQ41="2",BH41,0)</f>
        <v>0</v>
      </c>
      <c r="AG41" s="40">
        <f>IF(AQ41="2",BI41,0)</f>
        <v>0</v>
      </c>
      <c r="AH41" s="40">
        <f>IF(AQ41="0",BJ41,0)</f>
        <v>0</v>
      </c>
      <c r="AI41" s="31" t="s">
        <v>391</v>
      </c>
      <c r="AJ41" s="40">
        <f>IF(AN41=0,L41,0)</f>
        <v>0</v>
      </c>
      <c r="AK41" s="40">
        <f>IF(AN41=15,L41,0)</f>
        <v>0</v>
      </c>
      <c r="AL41" s="40">
        <f>IF(AN41=21,L41,0)</f>
        <v>0</v>
      </c>
      <c r="AN41" s="40">
        <v>21</v>
      </c>
      <c r="AO41" s="40">
        <f>I41*0</f>
        <v>0</v>
      </c>
      <c r="AP41" s="40">
        <f>I41*(1-0)</f>
        <v>0</v>
      </c>
      <c r="AQ41" s="38" t="s">
        <v>300</v>
      </c>
      <c r="AV41" s="40">
        <f>AW41+AX41</f>
        <v>0</v>
      </c>
      <c r="AW41" s="40">
        <f>H41*AO41</f>
        <v>0</v>
      </c>
      <c r="AX41" s="40">
        <f>H41*AP41</f>
        <v>0</v>
      </c>
      <c r="AY41" s="38" t="s">
        <v>485</v>
      </c>
      <c r="AZ41" s="38" t="s">
        <v>459</v>
      </c>
      <c r="BA41" s="31" t="s">
        <v>427</v>
      </c>
      <c r="BC41" s="40">
        <f>AW41+AX41</f>
        <v>0</v>
      </c>
      <c r="BD41" s="40">
        <f>I41/(100-BE41)*100</f>
        <v>0</v>
      </c>
      <c r="BE41" s="40">
        <v>0</v>
      </c>
      <c r="BF41" s="40">
        <f>41</f>
        <v>41</v>
      </c>
      <c r="BH41" s="40">
        <f>H41*AO41</f>
        <v>0</v>
      </c>
      <c r="BI41" s="40">
        <f>H41*AP41</f>
        <v>0</v>
      </c>
      <c r="BJ41" s="40">
        <f>H41*I41</f>
        <v>0</v>
      </c>
      <c r="BK41" s="40"/>
      <c r="BL41" s="40">
        <v>711</v>
      </c>
    </row>
    <row r="42" spans="1:47" ht="15" customHeight="1">
      <c r="A42" s="12" t="s">
        <v>391</v>
      </c>
      <c r="B42" s="36" t="s">
        <v>362</v>
      </c>
      <c r="C42" s="76" t="s">
        <v>626</v>
      </c>
      <c r="D42" s="76"/>
      <c r="E42" s="76"/>
      <c r="F42" s="76"/>
      <c r="G42" s="22" t="s">
        <v>513</v>
      </c>
      <c r="H42" s="22" t="s">
        <v>513</v>
      </c>
      <c r="I42" s="22" t="s">
        <v>513</v>
      </c>
      <c r="J42" s="17">
        <f>SUM(J43:J51)</f>
        <v>0</v>
      </c>
      <c r="K42" s="17">
        <f>SUM(K43:K51)</f>
        <v>0</v>
      </c>
      <c r="L42" s="17">
        <f>SUM(L43:L51)</f>
        <v>0</v>
      </c>
      <c r="M42" s="51" t="s">
        <v>391</v>
      </c>
      <c r="AI42" s="31" t="s">
        <v>391</v>
      </c>
      <c r="AS42" s="17">
        <f>SUM(AJ43:AJ51)</f>
        <v>0</v>
      </c>
      <c r="AT42" s="17">
        <f>SUM(AK43:AK51)</f>
        <v>0</v>
      </c>
      <c r="AU42" s="17">
        <f>SUM(AL43:AL51)</f>
        <v>0</v>
      </c>
    </row>
    <row r="43" spans="1:64" ht="15" customHeight="1">
      <c r="A43" s="9" t="s">
        <v>335</v>
      </c>
      <c r="B43" s="33" t="s">
        <v>330</v>
      </c>
      <c r="C43" s="61" t="s">
        <v>26</v>
      </c>
      <c r="D43" s="61"/>
      <c r="E43" s="61"/>
      <c r="F43" s="61"/>
      <c r="G43" s="33" t="s">
        <v>154</v>
      </c>
      <c r="H43" s="40">
        <v>1</v>
      </c>
      <c r="I43" s="40">
        <v>0</v>
      </c>
      <c r="J43" s="40">
        <f aca="true" t="shared" si="0" ref="J43:J51">H43*AO43</f>
        <v>0</v>
      </c>
      <c r="K43" s="40">
        <f aca="true" t="shared" si="1" ref="K43:K51">H43*AP43</f>
        <v>0</v>
      </c>
      <c r="L43" s="40">
        <f aca="true" t="shared" si="2" ref="L43:L51">H43*I43</f>
        <v>0</v>
      </c>
      <c r="M43" s="19" t="s">
        <v>216</v>
      </c>
      <c r="Z43" s="40">
        <f aca="true" t="shared" si="3" ref="Z43:Z51">IF(AQ43="5",BJ43,0)</f>
        <v>0</v>
      </c>
      <c r="AB43" s="40">
        <f aca="true" t="shared" si="4" ref="AB43:AB51">IF(AQ43="1",BH43,0)</f>
        <v>0</v>
      </c>
      <c r="AC43" s="40">
        <f aca="true" t="shared" si="5" ref="AC43:AC51">IF(AQ43="1",BI43,0)</f>
        <v>0</v>
      </c>
      <c r="AD43" s="40">
        <f aca="true" t="shared" si="6" ref="AD43:AD51">IF(AQ43="7",BH43,0)</f>
        <v>0</v>
      </c>
      <c r="AE43" s="40">
        <f aca="true" t="shared" si="7" ref="AE43:AE51">IF(AQ43="7",BI43,0)</f>
        <v>0</v>
      </c>
      <c r="AF43" s="40">
        <f aca="true" t="shared" si="8" ref="AF43:AF51">IF(AQ43="2",BH43,0)</f>
        <v>0</v>
      </c>
      <c r="AG43" s="40">
        <f aca="true" t="shared" si="9" ref="AG43:AG51">IF(AQ43="2",BI43,0)</f>
        <v>0</v>
      </c>
      <c r="AH43" s="40">
        <f aca="true" t="shared" si="10" ref="AH43:AH51">IF(AQ43="0",BJ43,0)</f>
        <v>0</v>
      </c>
      <c r="AI43" s="31" t="s">
        <v>391</v>
      </c>
      <c r="AJ43" s="40">
        <f aca="true" t="shared" si="11" ref="AJ43:AJ51">IF(AN43=0,L43,0)</f>
        <v>0</v>
      </c>
      <c r="AK43" s="40">
        <f aca="true" t="shared" si="12" ref="AK43:AK51">IF(AN43=15,L43,0)</f>
        <v>0</v>
      </c>
      <c r="AL43" s="40">
        <f aca="true" t="shared" si="13" ref="AL43:AL51">IF(AN43=21,L43,0)</f>
        <v>0</v>
      </c>
      <c r="AN43" s="40">
        <v>21</v>
      </c>
      <c r="AO43" s="40">
        <f>I43*0.758292939936776</f>
        <v>0</v>
      </c>
      <c r="AP43" s="40">
        <f>I43*(1-0.758292939936776)</f>
        <v>0</v>
      </c>
      <c r="AQ43" s="38" t="s">
        <v>550</v>
      </c>
      <c r="AV43" s="40">
        <f aca="true" t="shared" si="14" ref="AV43:AV51">AW43+AX43</f>
        <v>0</v>
      </c>
      <c r="AW43" s="40">
        <f aca="true" t="shared" si="15" ref="AW43:AW51">H43*AO43</f>
        <v>0</v>
      </c>
      <c r="AX43" s="40">
        <f aca="true" t="shared" si="16" ref="AX43:AX51">H43*AP43</f>
        <v>0</v>
      </c>
      <c r="AY43" s="38" t="s">
        <v>95</v>
      </c>
      <c r="AZ43" s="38" t="s">
        <v>38</v>
      </c>
      <c r="BA43" s="31" t="s">
        <v>427</v>
      </c>
      <c r="BC43" s="40">
        <f aca="true" t="shared" si="17" ref="BC43:BC51">AW43+AX43</f>
        <v>0</v>
      </c>
      <c r="BD43" s="40">
        <f aca="true" t="shared" si="18" ref="BD43:BD51">I43/(100-BE43)*100</f>
        <v>0</v>
      </c>
      <c r="BE43" s="40">
        <v>0</v>
      </c>
      <c r="BF43" s="40">
        <f>43</f>
        <v>43</v>
      </c>
      <c r="BH43" s="40">
        <f aca="true" t="shared" si="19" ref="BH43:BH51">H43*AO43</f>
        <v>0</v>
      </c>
      <c r="BI43" s="40">
        <f aca="true" t="shared" si="20" ref="BI43:BI51">H43*AP43</f>
        <v>0</v>
      </c>
      <c r="BJ43" s="40">
        <f aca="true" t="shared" si="21" ref="BJ43:BJ51">H43*I43</f>
        <v>0</v>
      </c>
      <c r="BK43" s="40"/>
      <c r="BL43" s="40">
        <v>721</v>
      </c>
    </row>
    <row r="44" spans="1:64" ht="15" customHeight="1">
      <c r="A44" s="9" t="s">
        <v>225</v>
      </c>
      <c r="B44" s="33" t="s">
        <v>285</v>
      </c>
      <c r="C44" s="61" t="s">
        <v>131</v>
      </c>
      <c r="D44" s="61"/>
      <c r="E44" s="61"/>
      <c r="F44" s="61"/>
      <c r="G44" s="33" t="s">
        <v>154</v>
      </c>
      <c r="H44" s="40">
        <v>1</v>
      </c>
      <c r="I44" s="40">
        <v>0</v>
      </c>
      <c r="J44" s="40">
        <f t="shared" si="0"/>
        <v>0</v>
      </c>
      <c r="K44" s="40">
        <f t="shared" si="1"/>
        <v>0</v>
      </c>
      <c r="L44" s="40">
        <f t="shared" si="2"/>
        <v>0</v>
      </c>
      <c r="M44" s="19" t="s">
        <v>216</v>
      </c>
      <c r="Z44" s="40">
        <f t="shared" si="3"/>
        <v>0</v>
      </c>
      <c r="AB44" s="40">
        <f t="shared" si="4"/>
        <v>0</v>
      </c>
      <c r="AC44" s="40">
        <f t="shared" si="5"/>
        <v>0</v>
      </c>
      <c r="AD44" s="40">
        <f t="shared" si="6"/>
        <v>0</v>
      </c>
      <c r="AE44" s="40">
        <f t="shared" si="7"/>
        <v>0</v>
      </c>
      <c r="AF44" s="40">
        <f t="shared" si="8"/>
        <v>0</v>
      </c>
      <c r="AG44" s="40">
        <f t="shared" si="9"/>
        <v>0</v>
      </c>
      <c r="AH44" s="40">
        <f t="shared" si="10"/>
        <v>0</v>
      </c>
      <c r="AI44" s="31" t="s">
        <v>391</v>
      </c>
      <c r="AJ44" s="40">
        <f t="shared" si="11"/>
        <v>0</v>
      </c>
      <c r="AK44" s="40">
        <f t="shared" si="12"/>
        <v>0</v>
      </c>
      <c r="AL44" s="40">
        <f t="shared" si="13"/>
        <v>0</v>
      </c>
      <c r="AN44" s="40">
        <v>21</v>
      </c>
      <c r="AO44" s="40">
        <f>I44*0.196013824884793</f>
        <v>0</v>
      </c>
      <c r="AP44" s="40">
        <f>I44*(1-0.196013824884793)</f>
        <v>0</v>
      </c>
      <c r="AQ44" s="38" t="s">
        <v>550</v>
      </c>
      <c r="AV44" s="40">
        <f t="shared" si="14"/>
        <v>0</v>
      </c>
      <c r="AW44" s="40">
        <f t="shared" si="15"/>
        <v>0</v>
      </c>
      <c r="AX44" s="40">
        <f t="shared" si="16"/>
        <v>0</v>
      </c>
      <c r="AY44" s="38" t="s">
        <v>95</v>
      </c>
      <c r="AZ44" s="38" t="s">
        <v>38</v>
      </c>
      <c r="BA44" s="31" t="s">
        <v>427</v>
      </c>
      <c r="BC44" s="40">
        <f t="shared" si="17"/>
        <v>0</v>
      </c>
      <c r="BD44" s="40">
        <f t="shared" si="18"/>
        <v>0</v>
      </c>
      <c r="BE44" s="40">
        <v>0</v>
      </c>
      <c r="BF44" s="40">
        <f>44</f>
        <v>44</v>
      </c>
      <c r="BH44" s="40">
        <f t="shared" si="19"/>
        <v>0</v>
      </c>
      <c r="BI44" s="40">
        <f t="shared" si="20"/>
        <v>0</v>
      </c>
      <c r="BJ44" s="40">
        <f t="shared" si="21"/>
        <v>0</v>
      </c>
      <c r="BK44" s="40"/>
      <c r="BL44" s="40">
        <v>721</v>
      </c>
    </row>
    <row r="45" spans="1:64" ht="15" customHeight="1">
      <c r="A45" s="9" t="s">
        <v>57</v>
      </c>
      <c r="B45" s="33" t="s">
        <v>126</v>
      </c>
      <c r="C45" s="61" t="s">
        <v>383</v>
      </c>
      <c r="D45" s="61"/>
      <c r="E45" s="61"/>
      <c r="F45" s="61"/>
      <c r="G45" s="33" t="s">
        <v>469</v>
      </c>
      <c r="H45" s="40">
        <v>2</v>
      </c>
      <c r="I45" s="40">
        <v>0</v>
      </c>
      <c r="J45" s="40">
        <f t="shared" si="0"/>
        <v>0</v>
      </c>
      <c r="K45" s="40">
        <f t="shared" si="1"/>
        <v>0</v>
      </c>
      <c r="L45" s="40">
        <f t="shared" si="2"/>
        <v>0</v>
      </c>
      <c r="M45" s="19" t="s">
        <v>216</v>
      </c>
      <c r="Z45" s="40">
        <f t="shared" si="3"/>
        <v>0</v>
      </c>
      <c r="AB45" s="40">
        <f t="shared" si="4"/>
        <v>0</v>
      </c>
      <c r="AC45" s="40">
        <f t="shared" si="5"/>
        <v>0</v>
      </c>
      <c r="AD45" s="40">
        <f t="shared" si="6"/>
        <v>0</v>
      </c>
      <c r="AE45" s="40">
        <f t="shared" si="7"/>
        <v>0</v>
      </c>
      <c r="AF45" s="40">
        <f t="shared" si="8"/>
        <v>0</v>
      </c>
      <c r="AG45" s="40">
        <f t="shared" si="9"/>
        <v>0</v>
      </c>
      <c r="AH45" s="40">
        <f t="shared" si="10"/>
        <v>0</v>
      </c>
      <c r="AI45" s="31" t="s">
        <v>391</v>
      </c>
      <c r="AJ45" s="40">
        <f t="shared" si="11"/>
        <v>0</v>
      </c>
      <c r="AK45" s="40">
        <f t="shared" si="12"/>
        <v>0</v>
      </c>
      <c r="AL45" s="40">
        <f t="shared" si="13"/>
        <v>0</v>
      </c>
      <c r="AN45" s="40">
        <v>21</v>
      </c>
      <c r="AO45" s="40">
        <f>I45*0</f>
        <v>0</v>
      </c>
      <c r="AP45" s="40">
        <f>I45*(1-0)</f>
        <v>0</v>
      </c>
      <c r="AQ45" s="38" t="s">
        <v>550</v>
      </c>
      <c r="AV45" s="40">
        <f t="shared" si="14"/>
        <v>0</v>
      </c>
      <c r="AW45" s="40">
        <f t="shared" si="15"/>
        <v>0</v>
      </c>
      <c r="AX45" s="40">
        <f t="shared" si="16"/>
        <v>0</v>
      </c>
      <c r="AY45" s="38" t="s">
        <v>95</v>
      </c>
      <c r="AZ45" s="38" t="s">
        <v>38</v>
      </c>
      <c r="BA45" s="31" t="s">
        <v>427</v>
      </c>
      <c r="BC45" s="40">
        <f t="shared" si="17"/>
        <v>0</v>
      </c>
      <c r="BD45" s="40">
        <f t="shared" si="18"/>
        <v>0</v>
      </c>
      <c r="BE45" s="40">
        <v>0</v>
      </c>
      <c r="BF45" s="40">
        <f>45</f>
        <v>45</v>
      </c>
      <c r="BH45" s="40">
        <f t="shared" si="19"/>
        <v>0</v>
      </c>
      <c r="BI45" s="40">
        <f t="shared" si="20"/>
        <v>0</v>
      </c>
      <c r="BJ45" s="40">
        <f t="shared" si="21"/>
        <v>0</v>
      </c>
      <c r="BK45" s="40"/>
      <c r="BL45" s="40">
        <v>721</v>
      </c>
    </row>
    <row r="46" spans="1:64" ht="15" customHeight="1">
      <c r="A46" s="9" t="s">
        <v>393</v>
      </c>
      <c r="B46" s="33" t="s">
        <v>188</v>
      </c>
      <c r="C46" s="61" t="s">
        <v>428</v>
      </c>
      <c r="D46" s="61"/>
      <c r="E46" s="61"/>
      <c r="F46" s="61"/>
      <c r="G46" s="33" t="s">
        <v>469</v>
      </c>
      <c r="H46" s="40">
        <v>1</v>
      </c>
      <c r="I46" s="40">
        <v>0</v>
      </c>
      <c r="J46" s="40">
        <f t="shared" si="0"/>
        <v>0</v>
      </c>
      <c r="K46" s="40">
        <f t="shared" si="1"/>
        <v>0</v>
      </c>
      <c r="L46" s="40">
        <f t="shared" si="2"/>
        <v>0</v>
      </c>
      <c r="M46" s="19" t="s">
        <v>216</v>
      </c>
      <c r="Z46" s="40">
        <f t="shared" si="3"/>
        <v>0</v>
      </c>
      <c r="AB46" s="40">
        <f t="shared" si="4"/>
        <v>0</v>
      </c>
      <c r="AC46" s="40">
        <f t="shared" si="5"/>
        <v>0</v>
      </c>
      <c r="AD46" s="40">
        <f t="shared" si="6"/>
        <v>0</v>
      </c>
      <c r="AE46" s="40">
        <f t="shared" si="7"/>
        <v>0</v>
      </c>
      <c r="AF46" s="40">
        <f t="shared" si="8"/>
        <v>0</v>
      </c>
      <c r="AG46" s="40">
        <f t="shared" si="9"/>
        <v>0</v>
      </c>
      <c r="AH46" s="40">
        <f t="shared" si="10"/>
        <v>0</v>
      </c>
      <c r="AI46" s="31" t="s">
        <v>391</v>
      </c>
      <c r="AJ46" s="40">
        <f t="shared" si="11"/>
        <v>0</v>
      </c>
      <c r="AK46" s="40">
        <f t="shared" si="12"/>
        <v>0</v>
      </c>
      <c r="AL46" s="40">
        <f t="shared" si="13"/>
        <v>0</v>
      </c>
      <c r="AN46" s="40">
        <v>21</v>
      </c>
      <c r="AO46" s="40">
        <f>I46*0</f>
        <v>0</v>
      </c>
      <c r="AP46" s="40">
        <f>I46*(1-0)</f>
        <v>0</v>
      </c>
      <c r="AQ46" s="38" t="s">
        <v>550</v>
      </c>
      <c r="AV46" s="40">
        <f t="shared" si="14"/>
        <v>0</v>
      </c>
      <c r="AW46" s="40">
        <f t="shared" si="15"/>
        <v>0</v>
      </c>
      <c r="AX46" s="40">
        <f t="shared" si="16"/>
        <v>0</v>
      </c>
      <c r="AY46" s="38" t="s">
        <v>95</v>
      </c>
      <c r="AZ46" s="38" t="s">
        <v>38</v>
      </c>
      <c r="BA46" s="31" t="s">
        <v>427</v>
      </c>
      <c r="BC46" s="40">
        <f t="shared" si="17"/>
        <v>0</v>
      </c>
      <c r="BD46" s="40">
        <f t="shared" si="18"/>
        <v>0</v>
      </c>
      <c r="BE46" s="40">
        <v>0</v>
      </c>
      <c r="BF46" s="40">
        <f>46</f>
        <v>46</v>
      </c>
      <c r="BH46" s="40">
        <f t="shared" si="19"/>
        <v>0</v>
      </c>
      <c r="BI46" s="40">
        <f t="shared" si="20"/>
        <v>0</v>
      </c>
      <c r="BJ46" s="40">
        <f t="shared" si="21"/>
        <v>0</v>
      </c>
      <c r="BK46" s="40"/>
      <c r="BL46" s="40">
        <v>721</v>
      </c>
    </row>
    <row r="47" spans="1:64" ht="15" customHeight="1">
      <c r="A47" s="9" t="s">
        <v>448</v>
      </c>
      <c r="B47" s="33" t="s">
        <v>235</v>
      </c>
      <c r="C47" s="61" t="s">
        <v>457</v>
      </c>
      <c r="D47" s="61"/>
      <c r="E47" s="61"/>
      <c r="F47" s="61"/>
      <c r="G47" s="33" t="s">
        <v>469</v>
      </c>
      <c r="H47" s="40">
        <v>2.5</v>
      </c>
      <c r="I47" s="40">
        <v>0</v>
      </c>
      <c r="J47" s="40">
        <f t="shared" si="0"/>
        <v>0</v>
      </c>
      <c r="K47" s="40">
        <f t="shared" si="1"/>
        <v>0</v>
      </c>
      <c r="L47" s="40">
        <f t="shared" si="2"/>
        <v>0</v>
      </c>
      <c r="M47" s="19" t="s">
        <v>216</v>
      </c>
      <c r="Z47" s="40">
        <f t="shared" si="3"/>
        <v>0</v>
      </c>
      <c r="AB47" s="40">
        <f t="shared" si="4"/>
        <v>0</v>
      </c>
      <c r="AC47" s="40">
        <f t="shared" si="5"/>
        <v>0</v>
      </c>
      <c r="AD47" s="40">
        <f t="shared" si="6"/>
        <v>0</v>
      </c>
      <c r="AE47" s="40">
        <f t="shared" si="7"/>
        <v>0</v>
      </c>
      <c r="AF47" s="40">
        <f t="shared" si="8"/>
        <v>0</v>
      </c>
      <c r="AG47" s="40">
        <f t="shared" si="9"/>
        <v>0</v>
      </c>
      <c r="AH47" s="40">
        <f t="shared" si="10"/>
        <v>0</v>
      </c>
      <c r="AI47" s="31" t="s">
        <v>391</v>
      </c>
      <c r="AJ47" s="40">
        <f t="shared" si="11"/>
        <v>0</v>
      </c>
      <c r="AK47" s="40">
        <f t="shared" si="12"/>
        <v>0</v>
      </c>
      <c r="AL47" s="40">
        <f t="shared" si="13"/>
        <v>0</v>
      </c>
      <c r="AN47" s="40">
        <v>21</v>
      </c>
      <c r="AO47" s="40">
        <f>I47*0.378966666666667</f>
        <v>0</v>
      </c>
      <c r="AP47" s="40">
        <f>I47*(1-0.378966666666667)</f>
        <v>0</v>
      </c>
      <c r="AQ47" s="38" t="s">
        <v>550</v>
      </c>
      <c r="AV47" s="40">
        <f t="shared" si="14"/>
        <v>0</v>
      </c>
      <c r="AW47" s="40">
        <f t="shared" si="15"/>
        <v>0</v>
      </c>
      <c r="AX47" s="40">
        <f t="shared" si="16"/>
        <v>0</v>
      </c>
      <c r="AY47" s="38" t="s">
        <v>95</v>
      </c>
      <c r="AZ47" s="38" t="s">
        <v>38</v>
      </c>
      <c r="BA47" s="31" t="s">
        <v>427</v>
      </c>
      <c r="BC47" s="40">
        <f t="shared" si="17"/>
        <v>0</v>
      </c>
      <c r="BD47" s="40">
        <f t="shared" si="18"/>
        <v>0</v>
      </c>
      <c r="BE47" s="40">
        <v>0</v>
      </c>
      <c r="BF47" s="40">
        <f>47</f>
        <v>47</v>
      </c>
      <c r="BH47" s="40">
        <f t="shared" si="19"/>
        <v>0</v>
      </c>
      <c r="BI47" s="40">
        <f t="shared" si="20"/>
        <v>0</v>
      </c>
      <c r="BJ47" s="40">
        <f t="shared" si="21"/>
        <v>0</v>
      </c>
      <c r="BK47" s="40"/>
      <c r="BL47" s="40">
        <v>721</v>
      </c>
    </row>
    <row r="48" spans="1:64" ht="15" customHeight="1">
      <c r="A48" s="9" t="s">
        <v>355</v>
      </c>
      <c r="B48" s="33" t="s">
        <v>251</v>
      </c>
      <c r="C48" s="61" t="s">
        <v>554</v>
      </c>
      <c r="D48" s="61"/>
      <c r="E48" s="61"/>
      <c r="F48" s="61"/>
      <c r="G48" s="33" t="s">
        <v>469</v>
      </c>
      <c r="H48" s="40">
        <v>1</v>
      </c>
      <c r="I48" s="40">
        <v>0</v>
      </c>
      <c r="J48" s="40">
        <f t="shared" si="0"/>
        <v>0</v>
      </c>
      <c r="K48" s="40">
        <f t="shared" si="1"/>
        <v>0</v>
      </c>
      <c r="L48" s="40">
        <f t="shared" si="2"/>
        <v>0</v>
      </c>
      <c r="M48" s="19" t="s">
        <v>216</v>
      </c>
      <c r="Z48" s="40">
        <f t="shared" si="3"/>
        <v>0</v>
      </c>
      <c r="AB48" s="40">
        <f t="shared" si="4"/>
        <v>0</v>
      </c>
      <c r="AC48" s="40">
        <f t="shared" si="5"/>
        <v>0</v>
      </c>
      <c r="AD48" s="40">
        <f t="shared" si="6"/>
        <v>0</v>
      </c>
      <c r="AE48" s="40">
        <f t="shared" si="7"/>
        <v>0</v>
      </c>
      <c r="AF48" s="40">
        <f t="shared" si="8"/>
        <v>0</v>
      </c>
      <c r="AG48" s="40">
        <f t="shared" si="9"/>
        <v>0</v>
      </c>
      <c r="AH48" s="40">
        <f t="shared" si="10"/>
        <v>0</v>
      </c>
      <c r="AI48" s="31" t="s">
        <v>391</v>
      </c>
      <c r="AJ48" s="40">
        <f t="shared" si="11"/>
        <v>0</v>
      </c>
      <c r="AK48" s="40">
        <f t="shared" si="12"/>
        <v>0</v>
      </c>
      <c r="AL48" s="40">
        <f t="shared" si="13"/>
        <v>0</v>
      </c>
      <c r="AN48" s="40">
        <v>21</v>
      </c>
      <c r="AO48" s="40">
        <f>I48*0.3605949517337</f>
        <v>0</v>
      </c>
      <c r="AP48" s="40">
        <f>I48*(1-0.3605949517337)</f>
        <v>0</v>
      </c>
      <c r="AQ48" s="38" t="s">
        <v>550</v>
      </c>
      <c r="AV48" s="40">
        <f t="shared" si="14"/>
        <v>0</v>
      </c>
      <c r="AW48" s="40">
        <f t="shared" si="15"/>
        <v>0</v>
      </c>
      <c r="AX48" s="40">
        <f t="shared" si="16"/>
        <v>0</v>
      </c>
      <c r="AY48" s="38" t="s">
        <v>95</v>
      </c>
      <c r="AZ48" s="38" t="s">
        <v>38</v>
      </c>
      <c r="BA48" s="31" t="s">
        <v>427</v>
      </c>
      <c r="BC48" s="40">
        <f t="shared" si="17"/>
        <v>0</v>
      </c>
      <c r="BD48" s="40">
        <f t="shared" si="18"/>
        <v>0</v>
      </c>
      <c r="BE48" s="40">
        <v>0</v>
      </c>
      <c r="BF48" s="40">
        <f>48</f>
        <v>48</v>
      </c>
      <c r="BH48" s="40">
        <f t="shared" si="19"/>
        <v>0</v>
      </c>
      <c r="BI48" s="40">
        <f t="shared" si="20"/>
        <v>0</v>
      </c>
      <c r="BJ48" s="40">
        <f t="shared" si="21"/>
        <v>0</v>
      </c>
      <c r="BK48" s="40"/>
      <c r="BL48" s="40">
        <v>721</v>
      </c>
    </row>
    <row r="49" spans="1:64" ht="15" customHeight="1">
      <c r="A49" s="9" t="s">
        <v>24</v>
      </c>
      <c r="B49" s="33" t="s">
        <v>152</v>
      </c>
      <c r="C49" s="61" t="s">
        <v>32</v>
      </c>
      <c r="D49" s="61"/>
      <c r="E49" s="61"/>
      <c r="F49" s="61"/>
      <c r="G49" s="33" t="s">
        <v>154</v>
      </c>
      <c r="H49" s="40">
        <v>1</v>
      </c>
      <c r="I49" s="40">
        <v>0</v>
      </c>
      <c r="J49" s="40">
        <f t="shared" si="0"/>
        <v>0</v>
      </c>
      <c r="K49" s="40">
        <f t="shared" si="1"/>
        <v>0</v>
      </c>
      <c r="L49" s="40">
        <f t="shared" si="2"/>
        <v>0</v>
      </c>
      <c r="M49" s="19" t="s">
        <v>216</v>
      </c>
      <c r="Z49" s="40">
        <f t="shared" si="3"/>
        <v>0</v>
      </c>
      <c r="AB49" s="40">
        <f t="shared" si="4"/>
        <v>0</v>
      </c>
      <c r="AC49" s="40">
        <f t="shared" si="5"/>
        <v>0</v>
      </c>
      <c r="AD49" s="40">
        <f t="shared" si="6"/>
        <v>0</v>
      </c>
      <c r="AE49" s="40">
        <f t="shared" si="7"/>
        <v>0</v>
      </c>
      <c r="AF49" s="40">
        <f t="shared" si="8"/>
        <v>0</v>
      </c>
      <c r="AG49" s="40">
        <f t="shared" si="9"/>
        <v>0</v>
      </c>
      <c r="AH49" s="40">
        <f t="shared" si="10"/>
        <v>0</v>
      </c>
      <c r="AI49" s="31" t="s">
        <v>391</v>
      </c>
      <c r="AJ49" s="40">
        <f t="shared" si="11"/>
        <v>0</v>
      </c>
      <c r="AK49" s="40">
        <f t="shared" si="12"/>
        <v>0</v>
      </c>
      <c r="AL49" s="40">
        <f t="shared" si="13"/>
        <v>0</v>
      </c>
      <c r="AN49" s="40">
        <v>21</v>
      </c>
      <c r="AO49" s="40">
        <f>I49*0</f>
        <v>0</v>
      </c>
      <c r="AP49" s="40">
        <f>I49*(1-0)</f>
        <v>0</v>
      </c>
      <c r="AQ49" s="38" t="s">
        <v>550</v>
      </c>
      <c r="AV49" s="40">
        <f t="shared" si="14"/>
        <v>0</v>
      </c>
      <c r="AW49" s="40">
        <f t="shared" si="15"/>
        <v>0</v>
      </c>
      <c r="AX49" s="40">
        <f t="shared" si="16"/>
        <v>0</v>
      </c>
      <c r="AY49" s="38" t="s">
        <v>95</v>
      </c>
      <c r="AZ49" s="38" t="s">
        <v>38</v>
      </c>
      <c r="BA49" s="31" t="s">
        <v>427</v>
      </c>
      <c r="BC49" s="40">
        <f t="shared" si="17"/>
        <v>0</v>
      </c>
      <c r="BD49" s="40">
        <f t="shared" si="18"/>
        <v>0</v>
      </c>
      <c r="BE49" s="40">
        <v>0</v>
      </c>
      <c r="BF49" s="40">
        <f>49</f>
        <v>49</v>
      </c>
      <c r="BH49" s="40">
        <f t="shared" si="19"/>
        <v>0</v>
      </c>
      <c r="BI49" s="40">
        <f t="shared" si="20"/>
        <v>0</v>
      </c>
      <c r="BJ49" s="40">
        <f t="shared" si="21"/>
        <v>0</v>
      </c>
      <c r="BK49" s="40"/>
      <c r="BL49" s="40">
        <v>721</v>
      </c>
    </row>
    <row r="50" spans="1:64" ht="15" customHeight="1">
      <c r="A50" s="9" t="s">
        <v>400</v>
      </c>
      <c r="B50" s="33" t="s">
        <v>29</v>
      </c>
      <c r="C50" s="61" t="s">
        <v>334</v>
      </c>
      <c r="D50" s="61"/>
      <c r="E50" s="61"/>
      <c r="F50" s="61"/>
      <c r="G50" s="33" t="s">
        <v>154</v>
      </c>
      <c r="H50" s="40">
        <v>2</v>
      </c>
      <c r="I50" s="40">
        <v>0</v>
      </c>
      <c r="J50" s="40">
        <f t="shared" si="0"/>
        <v>0</v>
      </c>
      <c r="K50" s="40">
        <f t="shared" si="1"/>
        <v>0</v>
      </c>
      <c r="L50" s="40">
        <f t="shared" si="2"/>
        <v>0</v>
      </c>
      <c r="M50" s="19" t="s">
        <v>216</v>
      </c>
      <c r="Z50" s="40">
        <f t="shared" si="3"/>
        <v>0</v>
      </c>
      <c r="AB50" s="40">
        <f t="shared" si="4"/>
        <v>0</v>
      </c>
      <c r="AC50" s="40">
        <f t="shared" si="5"/>
        <v>0</v>
      </c>
      <c r="AD50" s="40">
        <f t="shared" si="6"/>
        <v>0</v>
      </c>
      <c r="AE50" s="40">
        <f t="shared" si="7"/>
        <v>0</v>
      </c>
      <c r="AF50" s="40">
        <f t="shared" si="8"/>
        <v>0</v>
      </c>
      <c r="AG50" s="40">
        <f t="shared" si="9"/>
        <v>0</v>
      </c>
      <c r="AH50" s="40">
        <f t="shared" si="10"/>
        <v>0</v>
      </c>
      <c r="AI50" s="31" t="s">
        <v>391</v>
      </c>
      <c r="AJ50" s="40">
        <f t="shared" si="11"/>
        <v>0</v>
      </c>
      <c r="AK50" s="40">
        <f t="shared" si="12"/>
        <v>0</v>
      </c>
      <c r="AL50" s="40">
        <f t="shared" si="13"/>
        <v>0</v>
      </c>
      <c r="AN50" s="40">
        <v>21</v>
      </c>
      <c r="AO50" s="40">
        <f>I50*0</f>
        <v>0</v>
      </c>
      <c r="AP50" s="40">
        <f>I50*(1-0)</f>
        <v>0</v>
      </c>
      <c r="AQ50" s="38" t="s">
        <v>550</v>
      </c>
      <c r="AV50" s="40">
        <f t="shared" si="14"/>
        <v>0</v>
      </c>
      <c r="AW50" s="40">
        <f t="shared" si="15"/>
        <v>0</v>
      </c>
      <c r="AX50" s="40">
        <f t="shared" si="16"/>
        <v>0</v>
      </c>
      <c r="AY50" s="38" t="s">
        <v>95</v>
      </c>
      <c r="AZ50" s="38" t="s">
        <v>38</v>
      </c>
      <c r="BA50" s="31" t="s">
        <v>427</v>
      </c>
      <c r="BC50" s="40">
        <f t="shared" si="17"/>
        <v>0</v>
      </c>
      <c r="BD50" s="40">
        <f t="shared" si="18"/>
        <v>0</v>
      </c>
      <c r="BE50" s="40">
        <v>0</v>
      </c>
      <c r="BF50" s="40">
        <f>50</f>
        <v>50</v>
      </c>
      <c r="BH50" s="40">
        <f t="shared" si="19"/>
        <v>0</v>
      </c>
      <c r="BI50" s="40">
        <f t="shared" si="20"/>
        <v>0</v>
      </c>
      <c r="BJ50" s="40">
        <f t="shared" si="21"/>
        <v>0</v>
      </c>
      <c r="BK50" s="40"/>
      <c r="BL50" s="40">
        <v>721</v>
      </c>
    </row>
    <row r="51" spans="1:64" ht="15" customHeight="1">
      <c r="A51" s="9" t="s">
        <v>529</v>
      </c>
      <c r="B51" s="33" t="s">
        <v>97</v>
      </c>
      <c r="C51" s="61" t="s">
        <v>68</v>
      </c>
      <c r="D51" s="61"/>
      <c r="E51" s="61"/>
      <c r="F51" s="61"/>
      <c r="G51" s="33" t="s">
        <v>491</v>
      </c>
      <c r="H51" s="40">
        <v>1.85</v>
      </c>
      <c r="I51" s="40">
        <v>0</v>
      </c>
      <c r="J51" s="40">
        <f t="shared" si="0"/>
        <v>0</v>
      </c>
      <c r="K51" s="40">
        <f t="shared" si="1"/>
        <v>0</v>
      </c>
      <c r="L51" s="40">
        <f t="shared" si="2"/>
        <v>0</v>
      </c>
      <c r="M51" s="19" t="s">
        <v>216</v>
      </c>
      <c r="Z51" s="40">
        <f t="shared" si="3"/>
        <v>0</v>
      </c>
      <c r="AB51" s="40">
        <f t="shared" si="4"/>
        <v>0</v>
      </c>
      <c r="AC51" s="40">
        <f t="shared" si="5"/>
        <v>0</v>
      </c>
      <c r="AD51" s="40">
        <f t="shared" si="6"/>
        <v>0</v>
      </c>
      <c r="AE51" s="40">
        <f t="shared" si="7"/>
        <v>0</v>
      </c>
      <c r="AF51" s="40">
        <f t="shared" si="8"/>
        <v>0</v>
      </c>
      <c r="AG51" s="40">
        <f t="shared" si="9"/>
        <v>0</v>
      </c>
      <c r="AH51" s="40">
        <f t="shared" si="10"/>
        <v>0</v>
      </c>
      <c r="AI51" s="31" t="s">
        <v>391</v>
      </c>
      <c r="AJ51" s="40">
        <f t="shared" si="11"/>
        <v>0</v>
      </c>
      <c r="AK51" s="40">
        <f t="shared" si="12"/>
        <v>0</v>
      </c>
      <c r="AL51" s="40">
        <f t="shared" si="13"/>
        <v>0</v>
      </c>
      <c r="AN51" s="40">
        <v>21</v>
      </c>
      <c r="AO51" s="40">
        <f>I51*0</f>
        <v>0</v>
      </c>
      <c r="AP51" s="40">
        <f>I51*(1-0)</f>
        <v>0</v>
      </c>
      <c r="AQ51" s="38" t="s">
        <v>300</v>
      </c>
      <c r="AV51" s="40">
        <f t="shared" si="14"/>
        <v>0</v>
      </c>
      <c r="AW51" s="40">
        <f t="shared" si="15"/>
        <v>0</v>
      </c>
      <c r="AX51" s="40">
        <f t="shared" si="16"/>
        <v>0</v>
      </c>
      <c r="AY51" s="38" t="s">
        <v>95</v>
      </c>
      <c r="AZ51" s="38" t="s">
        <v>38</v>
      </c>
      <c r="BA51" s="31" t="s">
        <v>427</v>
      </c>
      <c r="BC51" s="40">
        <f t="shared" si="17"/>
        <v>0</v>
      </c>
      <c r="BD51" s="40">
        <f t="shared" si="18"/>
        <v>0</v>
      </c>
      <c r="BE51" s="40">
        <v>0</v>
      </c>
      <c r="BF51" s="40">
        <f>51</f>
        <v>51</v>
      </c>
      <c r="BH51" s="40">
        <f t="shared" si="19"/>
        <v>0</v>
      </c>
      <c r="BI51" s="40">
        <f t="shared" si="20"/>
        <v>0</v>
      </c>
      <c r="BJ51" s="40">
        <f t="shared" si="21"/>
        <v>0</v>
      </c>
      <c r="BK51" s="40"/>
      <c r="BL51" s="40">
        <v>721</v>
      </c>
    </row>
    <row r="52" spans="1:47" ht="15" customHeight="1">
      <c r="A52" s="12" t="s">
        <v>391</v>
      </c>
      <c r="B52" s="36" t="s">
        <v>504</v>
      </c>
      <c r="C52" s="76" t="s">
        <v>346</v>
      </c>
      <c r="D52" s="76"/>
      <c r="E52" s="76"/>
      <c r="F52" s="76"/>
      <c r="G52" s="22" t="s">
        <v>513</v>
      </c>
      <c r="H52" s="22" t="s">
        <v>513</v>
      </c>
      <c r="I52" s="22" t="s">
        <v>513</v>
      </c>
      <c r="J52" s="17">
        <f>SUM(J53:J65)</f>
        <v>0</v>
      </c>
      <c r="K52" s="17">
        <f>SUM(K53:K65)</f>
        <v>0</v>
      </c>
      <c r="L52" s="17">
        <f>SUM(L53:L65)</f>
        <v>0</v>
      </c>
      <c r="M52" s="51" t="s">
        <v>391</v>
      </c>
      <c r="AI52" s="31" t="s">
        <v>391</v>
      </c>
      <c r="AS52" s="17">
        <f>SUM(AJ53:AJ65)</f>
        <v>0</v>
      </c>
      <c r="AT52" s="17">
        <f>SUM(AK53:AK65)</f>
        <v>0</v>
      </c>
      <c r="AU52" s="17">
        <f>SUM(AL53:AL65)</f>
        <v>0</v>
      </c>
    </row>
    <row r="53" spans="1:64" ht="15" customHeight="1">
      <c r="A53" s="9" t="s">
        <v>255</v>
      </c>
      <c r="B53" s="33" t="s">
        <v>426</v>
      </c>
      <c r="C53" s="61" t="s">
        <v>90</v>
      </c>
      <c r="D53" s="61"/>
      <c r="E53" s="61"/>
      <c r="F53" s="61"/>
      <c r="G53" s="33" t="s">
        <v>469</v>
      </c>
      <c r="H53" s="40">
        <v>8</v>
      </c>
      <c r="I53" s="40">
        <v>0</v>
      </c>
      <c r="J53" s="40">
        <f>H53*AO53</f>
        <v>0</v>
      </c>
      <c r="K53" s="40">
        <f>H53*AP53</f>
        <v>0</v>
      </c>
      <c r="L53" s="40">
        <f>H53*I53</f>
        <v>0</v>
      </c>
      <c r="M53" s="19" t="s">
        <v>216</v>
      </c>
      <c r="Z53" s="40">
        <f>IF(AQ53="5",BJ53,0)</f>
        <v>0</v>
      </c>
      <c r="AB53" s="40">
        <f>IF(AQ53="1",BH53,0)</f>
        <v>0</v>
      </c>
      <c r="AC53" s="40">
        <f>IF(AQ53="1",BI53,0)</f>
        <v>0</v>
      </c>
      <c r="AD53" s="40">
        <f>IF(AQ53="7",BH53,0)</f>
        <v>0</v>
      </c>
      <c r="AE53" s="40">
        <f>IF(AQ53="7",BI53,0)</f>
        <v>0</v>
      </c>
      <c r="AF53" s="40">
        <f>IF(AQ53="2",BH53,0)</f>
        <v>0</v>
      </c>
      <c r="AG53" s="40">
        <f>IF(AQ53="2",BI53,0)</f>
        <v>0</v>
      </c>
      <c r="AH53" s="40">
        <f>IF(AQ53="0",BJ53,0)</f>
        <v>0</v>
      </c>
      <c r="AI53" s="31" t="s">
        <v>391</v>
      </c>
      <c r="AJ53" s="40">
        <f>IF(AN53=0,L53,0)</f>
        <v>0</v>
      </c>
      <c r="AK53" s="40">
        <f>IF(AN53=15,L53,0)</f>
        <v>0</v>
      </c>
      <c r="AL53" s="40">
        <f>IF(AN53=21,L53,0)</f>
        <v>0</v>
      </c>
      <c r="AN53" s="40">
        <v>21</v>
      </c>
      <c r="AO53" s="40">
        <f>I53*0</f>
        <v>0</v>
      </c>
      <c r="AP53" s="40">
        <f>I53*(1-0)</f>
        <v>0</v>
      </c>
      <c r="AQ53" s="38" t="s">
        <v>550</v>
      </c>
      <c r="AV53" s="40">
        <f>AW53+AX53</f>
        <v>0</v>
      </c>
      <c r="AW53" s="40">
        <f>H53*AO53</f>
        <v>0</v>
      </c>
      <c r="AX53" s="40">
        <f>H53*AP53</f>
        <v>0</v>
      </c>
      <c r="AY53" s="38" t="s">
        <v>354</v>
      </c>
      <c r="AZ53" s="38" t="s">
        <v>38</v>
      </c>
      <c r="BA53" s="31" t="s">
        <v>427</v>
      </c>
      <c r="BC53" s="40">
        <f>AW53+AX53</f>
        <v>0</v>
      </c>
      <c r="BD53" s="40">
        <f>I53/(100-BE53)*100</f>
        <v>0</v>
      </c>
      <c r="BE53" s="40">
        <v>0</v>
      </c>
      <c r="BF53" s="40">
        <f>53</f>
        <v>53</v>
      </c>
      <c r="BH53" s="40">
        <f>H53*AO53</f>
        <v>0</v>
      </c>
      <c r="BI53" s="40">
        <f>H53*AP53</f>
        <v>0</v>
      </c>
      <c r="BJ53" s="40">
        <f>H53*I53</f>
        <v>0</v>
      </c>
      <c r="BK53" s="40"/>
      <c r="BL53" s="40">
        <v>722</v>
      </c>
    </row>
    <row r="54" spans="1:64" ht="15" customHeight="1">
      <c r="A54" s="9" t="s">
        <v>59</v>
      </c>
      <c r="B54" s="33" t="s">
        <v>461</v>
      </c>
      <c r="C54" s="61" t="s">
        <v>71</v>
      </c>
      <c r="D54" s="61"/>
      <c r="E54" s="61"/>
      <c r="F54" s="61"/>
      <c r="G54" s="33" t="s">
        <v>469</v>
      </c>
      <c r="H54" s="40">
        <v>8.9</v>
      </c>
      <c r="I54" s="40">
        <v>0</v>
      </c>
      <c r="J54" s="40">
        <f>H54*AO54</f>
        <v>0</v>
      </c>
      <c r="K54" s="40">
        <f>H54*AP54</f>
        <v>0</v>
      </c>
      <c r="L54" s="40">
        <f>H54*I54</f>
        <v>0</v>
      </c>
      <c r="M54" s="19" t="s">
        <v>216</v>
      </c>
      <c r="Z54" s="40">
        <f>IF(AQ54="5",BJ54,0)</f>
        <v>0</v>
      </c>
      <c r="AB54" s="40">
        <f>IF(AQ54="1",BH54,0)</f>
        <v>0</v>
      </c>
      <c r="AC54" s="40">
        <f>IF(AQ54="1",BI54,0)</f>
        <v>0</v>
      </c>
      <c r="AD54" s="40">
        <f>IF(AQ54="7",BH54,0)</f>
        <v>0</v>
      </c>
      <c r="AE54" s="40">
        <f>IF(AQ54="7",BI54,0)</f>
        <v>0</v>
      </c>
      <c r="AF54" s="40">
        <f>IF(AQ54="2",BH54,0)</f>
        <v>0</v>
      </c>
      <c r="AG54" s="40">
        <f>IF(AQ54="2",BI54,0)</f>
        <v>0</v>
      </c>
      <c r="AH54" s="40">
        <f>IF(AQ54="0",BJ54,0)</f>
        <v>0</v>
      </c>
      <c r="AI54" s="31" t="s">
        <v>391</v>
      </c>
      <c r="AJ54" s="40">
        <f>IF(AN54=0,L54,0)</f>
        <v>0</v>
      </c>
      <c r="AK54" s="40">
        <f>IF(AN54=15,L54,0)</f>
        <v>0</v>
      </c>
      <c r="AL54" s="40">
        <f>IF(AN54=21,L54,0)</f>
        <v>0</v>
      </c>
      <c r="AN54" s="40">
        <v>21</v>
      </c>
      <c r="AO54" s="40">
        <f>I54*0.23676217765043</f>
        <v>0</v>
      </c>
      <c r="AP54" s="40">
        <f>I54*(1-0.23676217765043)</f>
        <v>0</v>
      </c>
      <c r="AQ54" s="38" t="s">
        <v>550</v>
      </c>
      <c r="AV54" s="40">
        <f>AW54+AX54</f>
        <v>0</v>
      </c>
      <c r="AW54" s="40">
        <f>H54*AO54</f>
        <v>0</v>
      </c>
      <c r="AX54" s="40">
        <f>H54*AP54</f>
        <v>0</v>
      </c>
      <c r="AY54" s="38" t="s">
        <v>354</v>
      </c>
      <c r="AZ54" s="38" t="s">
        <v>38</v>
      </c>
      <c r="BA54" s="31" t="s">
        <v>427</v>
      </c>
      <c r="BC54" s="40">
        <f>AW54+AX54</f>
        <v>0</v>
      </c>
      <c r="BD54" s="40">
        <f>I54/(100-BE54)*100</f>
        <v>0</v>
      </c>
      <c r="BE54" s="40">
        <v>0</v>
      </c>
      <c r="BF54" s="40">
        <f>54</f>
        <v>54</v>
      </c>
      <c r="BH54" s="40">
        <f>H54*AO54</f>
        <v>0</v>
      </c>
      <c r="BI54" s="40">
        <f>H54*AP54</f>
        <v>0</v>
      </c>
      <c r="BJ54" s="40">
        <f>H54*I54</f>
        <v>0</v>
      </c>
      <c r="BK54" s="40"/>
      <c r="BL54" s="40">
        <v>722</v>
      </c>
    </row>
    <row r="55" spans="1:13" ht="15" customHeight="1">
      <c r="A55" s="55"/>
      <c r="C55" s="14" t="s">
        <v>421</v>
      </c>
      <c r="F55" s="14" t="s">
        <v>391</v>
      </c>
      <c r="H55" s="45">
        <v>8.9</v>
      </c>
      <c r="M55" s="18"/>
    </row>
    <row r="56" spans="1:64" ht="15" customHeight="1">
      <c r="A56" s="9" t="s">
        <v>153</v>
      </c>
      <c r="B56" s="33" t="s">
        <v>443</v>
      </c>
      <c r="C56" s="61" t="s">
        <v>103</v>
      </c>
      <c r="D56" s="61"/>
      <c r="E56" s="61"/>
      <c r="F56" s="61"/>
      <c r="G56" s="33" t="s">
        <v>154</v>
      </c>
      <c r="H56" s="40">
        <v>2</v>
      </c>
      <c r="I56" s="40">
        <v>0</v>
      </c>
      <c r="J56" s="40">
        <f>H56*AO56</f>
        <v>0</v>
      </c>
      <c r="K56" s="40">
        <f>H56*AP56</f>
        <v>0</v>
      </c>
      <c r="L56" s="40">
        <f>H56*I56</f>
        <v>0</v>
      </c>
      <c r="M56" s="19" t="s">
        <v>216</v>
      </c>
      <c r="Z56" s="40">
        <f>IF(AQ56="5",BJ56,0)</f>
        <v>0</v>
      </c>
      <c r="AB56" s="40">
        <f>IF(AQ56="1",BH56,0)</f>
        <v>0</v>
      </c>
      <c r="AC56" s="40">
        <f>IF(AQ56="1",BI56,0)</f>
        <v>0</v>
      </c>
      <c r="AD56" s="40">
        <f>IF(AQ56="7",BH56,0)</f>
        <v>0</v>
      </c>
      <c r="AE56" s="40">
        <f>IF(AQ56="7",BI56,0)</f>
        <v>0</v>
      </c>
      <c r="AF56" s="40">
        <f>IF(AQ56="2",BH56,0)</f>
        <v>0</v>
      </c>
      <c r="AG56" s="40">
        <f>IF(AQ56="2",BI56,0)</f>
        <v>0</v>
      </c>
      <c r="AH56" s="40">
        <f>IF(AQ56="0",BJ56,0)</f>
        <v>0</v>
      </c>
      <c r="AI56" s="31" t="s">
        <v>391</v>
      </c>
      <c r="AJ56" s="40">
        <f>IF(AN56=0,L56,0)</f>
        <v>0</v>
      </c>
      <c r="AK56" s="40">
        <f>IF(AN56=15,L56,0)</f>
        <v>0</v>
      </c>
      <c r="AL56" s="40">
        <f>IF(AN56=21,L56,0)</f>
        <v>0</v>
      </c>
      <c r="AN56" s="40">
        <v>21</v>
      </c>
      <c r="AO56" s="40">
        <f>I56*0</f>
        <v>0</v>
      </c>
      <c r="AP56" s="40">
        <f>I56*(1-0)</f>
        <v>0</v>
      </c>
      <c r="AQ56" s="38" t="s">
        <v>550</v>
      </c>
      <c r="AV56" s="40">
        <f>AW56+AX56</f>
        <v>0</v>
      </c>
      <c r="AW56" s="40">
        <f>H56*AO56</f>
        <v>0</v>
      </c>
      <c r="AX56" s="40">
        <f>H56*AP56</f>
        <v>0</v>
      </c>
      <c r="AY56" s="38" t="s">
        <v>354</v>
      </c>
      <c r="AZ56" s="38" t="s">
        <v>38</v>
      </c>
      <c r="BA56" s="31" t="s">
        <v>427</v>
      </c>
      <c r="BC56" s="40">
        <f>AW56+AX56</f>
        <v>0</v>
      </c>
      <c r="BD56" s="40">
        <f>I56/(100-BE56)*100</f>
        <v>0</v>
      </c>
      <c r="BE56" s="40">
        <v>0</v>
      </c>
      <c r="BF56" s="40">
        <f>56</f>
        <v>56</v>
      </c>
      <c r="BH56" s="40">
        <f>H56*AO56</f>
        <v>0</v>
      </c>
      <c r="BI56" s="40">
        <f>H56*AP56</f>
        <v>0</v>
      </c>
      <c r="BJ56" s="40">
        <f>H56*I56</f>
        <v>0</v>
      </c>
      <c r="BK56" s="40"/>
      <c r="BL56" s="40">
        <v>722</v>
      </c>
    </row>
    <row r="57" spans="1:64" ht="15" customHeight="1">
      <c r="A57" s="9" t="s">
        <v>82</v>
      </c>
      <c r="B57" s="33" t="s">
        <v>589</v>
      </c>
      <c r="C57" s="61" t="s">
        <v>530</v>
      </c>
      <c r="D57" s="61"/>
      <c r="E57" s="61"/>
      <c r="F57" s="61"/>
      <c r="G57" s="33" t="s">
        <v>202</v>
      </c>
      <c r="H57" s="40">
        <v>1</v>
      </c>
      <c r="I57" s="40">
        <v>0</v>
      </c>
      <c r="J57" s="40">
        <f>H57*AO57</f>
        <v>0</v>
      </c>
      <c r="K57" s="40">
        <f>H57*AP57</f>
        <v>0</v>
      </c>
      <c r="L57" s="40">
        <f>H57*I57</f>
        <v>0</v>
      </c>
      <c r="M57" s="19" t="s">
        <v>216</v>
      </c>
      <c r="Z57" s="40">
        <f>IF(AQ57="5",BJ57,0)</f>
        <v>0</v>
      </c>
      <c r="AB57" s="40">
        <f>IF(AQ57="1",BH57,0)</f>
        <v>0</v>
      </c>
      <c r="AC57" s="40">
        <f>IF(AQ57="1",BI57,0)</f>
        <v>0</v>
      </c>
      <c r="AD57" s="40">
        <f>IF(AQ57="7",BH57,0)</f>
        <v>0</v>
      </c>
      <c r="AE57" s="40">
        <f>IF(AQ57="7",BI57,0)</f>
        <v>0</v>
      </c>
      <c r="AF57" s="40">
        <f>IF(AQ57="2",BH57,0)</f>
        <v>0</v>
      </c>
      <c r="AG57" s="40">
        <f>IF(AQ57="2",BI57,0)</f>
        <v>0</v>
      </c>
      <c r="AH57" s="40">
        <f>IF(AQ57="0",BJ57,0)</f>
        <v>0</v>
      </c>
      <c r="AI57" s="31" t="s">
        <v>391</v>
      </c>
      <c r="AJ57" s="40">
        <f>IF(AN57=0,L57,0)</f>
        <v>0</v>
      </c>
      <c r="AK57" s="40">
        <f>IF(AN57=15,L57,0)</f>
        <v>0</v>
      </c>
      <c r="AL57" s="40">
        <f>IF(AN57=21,L57,0)</f>
        <v>0</v>
      </c>
      <c r="AN57" s="40">
        <v>21</v>
      </c>
      <c r="AO57" s="40">
        <f>I57*0</f>
        <v>0</v>
      </c>
      <c r="AP57" s="40">
        <f>I57*(1-0)</f>
        <v>0</v>
      </c>
      <c r="AQ57" s="38" t="s">
        <v>550</v>
      </c>
      <c r="AV57" s="40">
        <f>AW57+AX57</f>
        <v>0</v>
      </c>
      <c r="AW57" s="40">
        <f>H57*AO57</f>
        <v>0</v>
      </c>
      <c r="AX57" s="40">
        <f>H57*AP57</f>
        <v>0</v>
      </c>
      <c r="AY57" s="38" t="s">
        <v>354</v>
      </c>
      <c r="AZ57" s="38" t="s">
        <v>38</v>
      </c>
      <c r="BA57" s="31" t="s">
        <v>427</v>
      </c>
      <c r="BC57" s="40">
        <f>AW57+AX57</f>
        <v>0</v>
      </c>
      <c r="BD57" s="40">
        <f>I57/(100-BE57)*100</f>
        <v>0</v>
      </c>
      <c r="BE57" s="40">
        <v>0</v>
      </c>
      <c r="BF57" s="40">
        <f>57</f>
        <v>57</v>
      </c>
      <c r="BH57" s="40">
        <f>H57*AO57</f>
        <v>0</v>
      </c>
      <c r="BI57" s="40">
        <f>H57*AP57</f>
        <v>0</v>
      </c>
      <c r="BJ57" s="40">
        <f>H57*I57</f>
        <v>0</v>
      </c>
      <c r="BK57" s="40"/>
      <c r="BL57" s="40">
        <v>722</v>
      </c>
    </row>
    <row r="58" spans="1:64" ht="15" customHeight="1">
      <c r="A58" s="9" t="s">
        <v>539</v>
      </c>
      <c r="B58" s="33" t="s">
        <v>127</v>
      </c>
      <c r="C58" s="61" t="s">
        <v>230</v>
      </c>
      <c r="D58" s="61"/>
      <c r="E58" s="61"/>
      <c r="F58" s="61"/>
      <c r="G58" s="33" t="s">
        <v>469</v>
      </c>
      <c r="H58" s="40">
        <v>8.9</v>
      </c>
      <c r="I58" s="40">
        <v>0</v>
      </c>
      <c r="J58" s="40">
        <f>H58*AO58</f>
        <v>0</v>
      </c>
      <c r="K58" s="40">
        <f>H58*AP58</f>
        <v>0</v>
      </c>
      <c r="L58" s="40">
        <f>H58*I58</f>
        <v>0</v>
      </c>
      <c r="M58" s="19" t="s">
        <v>216</v>
      </c>
      <c r="Z58" s="40">
        <f>IF(AQ58="5",BJ58,0)</f>
        <v>0</v>
      </c>
      <c r="AB58" s="40">
        <f>IF(AQ58="1",BH58,0)</f>
        <v>0</v>
      </c>
      <c r="AC58" s="40">
        <f>IF(AQ58="1",BI58,0)</f>
        <v>0</v>
      </c>
      <c r="AD58" s="40">
        <f>IF(AQ58="7",BH58,0)</f>
        <v>0</v>
      </c>
      <c r="AE58" s="40">
        <f>IF(AQ58="7",BI58,0)</f>
        <v>0</v>
      </c>
      <c r="AF58" s="40">
        <f>IF(AQ58="2",BH58,0)</f>
        <v>0</v>
      </c>
      <c r="AG58" s="40">
        <f>IF(AQ58="2",BI58,0)</f>
        <v>0</v>
      </c>
      <c r="AH58" s="40">
        <f>IF(AQ58="0",BJ58,0)</f>
        <v>0</v>
      </c>
      <c r="AI58" s="31" t="s">
        <v>391</v>
      </c>
      <c r="AJ58" s="40">
        <f>IF(AN58=0,L58,0)</f>
        <v>0</v>
      </c>
      <c r="AK58" s="40">
        <f>IF(AN58=15,L58,0)</f>
        <v>0</v>
      </c>
      <c r="AL58" s="40">
        <f>IF(AN58=21,L58,0)</f>
        <v>0</v>
      </c>
      <c r="AN58" s="40">
        <v>21</v>
      </c>
      <c r="AO58" s="40">
        <f>I58*0.196850393700787</f>
        <v>0</v>
      </c>
      <c r="AP58" s="40">
        <f>I58*(1-0.196850393700787)</f>
        <v>0</v>
      </c>
      <c r="AQ58" s="38" t="s">
        <v>550</v>
      </c>
      <c r="AV58" s="40">
        <f>AW58+AX58</f>
        <v>0</v>
      </c>
      <c r="AW58" s="40">
        <f>H58*AO58</f>
        <v>0</v>
      </c>
      <c r="AX58" s="40">
        <f>H58*AP58</f>
        <v>0</v>
      </c>
      <c r="AY58" s="38" t="s">
        <v>354</v>
      </c>
      <c r="AZ58" s="38" t="s">
        <v>38</v>
      </c>
      <c r="BA58" s="31" t="s">
        <v>427</v>
      </c>
      <c r="BC58" s="40">
        <f>AW58+AX58</f>
        <v>0</v>
      </c>
      <c r="BD58" s="40">
        <f>I58/(100-BE58)*100</f>
        <v>0</v>
      </c>
      <c r="BE58" s="40">
        <v>0</v>
      </c>
      <c r="BF58" s="40">
        <f>58</f>
        <v>58</v>
      </c>
      <c r="BH58" s="40">
        <f>H58*AO58</f>
        <v>0</v>
      </c>
      <c r="BI58" s="40">
        <f>H58*AP58</f>
        <v>0</v>
      </c>
      <c r="BJ58" s="40">
        <f>H58*I58</f>
        <v>0</v>
      </c>
      <c r="BK58" s="40"/>
      <c r="BL58" s="40">
        <v>722</v>
      </c>
    </row>
    <row r="59" spans="1:13" ht="15" customHeight="1">
      <c r="A59" s="55"/>
      <c r="C59" s="14" t="s">
        <v>421</v>
      </c>
      <c r="F59" s="14" t="s">
        <v>391</v>
      </c>
      <c r="H59" s="45">
        <v>8.9</v>
      </c>
      <c r="M59" s="18"/>
    </row>
    <row r="60" spans="1:64" ht="15" customHeight="1">
      <c r="A60" s="9" t="s">
        <v>596</v>
      </c>
      <c r="B60" s="33" t="s">
        <v>6</v>
      </c>
      <c r="C60" s="61" t="s">
        <v>2</v>
      </c>
      <c r="D60" s="61"/>
      <c r="E60" s="61"/>
      <c r="F60" s="61"/>
      <c r="G60" s="33" t="s">
        <v>154</v>
      </c>
      <c r="H60" s="40">
        <v>3</v>
      </c>
      <c r="I60" s="40">
        <v>0</v>
      </c>
      <c r="J60" s="40">
        <f>H60*AO60</f>
        <v>0</v>
      </c>
      <c r="K60" s="40">
        <f>H60*AP60</f>
        <v>0</v>
      </c>
      <c r="L60" s="40">
        <f>H60*I60</f>
        <v>0</v>
      </c>
      <c r="M60" s="19" t="s">
        <v>216</v>
      </c>
      <c r="Z60" s="40">
        <f>IF(AQ60="5",BJ60,0)</f>
        <v>0</v>
      </c>
      <c r="AB60" s="40">
        <f>IF(AQ60="1",BH60,0)</f>
        <v>0</v>
      </c>
      <c r="AC60" s="40">
        <f>IF(AQ60="1",BI60,0)</f>
        <v>0</v>
      </c>
      <c r="AD60" s="40">
        <f>IF(AQ60="7",BH60,0)</f>
        <v>0</v>
      </c>
      <c r="AE60" s="40">
        <f>IF(AQ60="7",BI60,0)</f>
        <v>0</v>
      </c>
      <c r="AF60" s="40">
        <f>IF(AQ60="2",BH60,0)</f>
        <v>0</v>
      </c>
      <c r="AG60" s="40">
        <f>IF(AQ60="2",BI60,0)</f>
        <v>0</v>
      </c>
      <c r="AH60" s="40">
        <f>IF(AQ60="0",BJ60,0)</f>
        <v>0</v>
      </c>
      <c r="AI60" s="31" t="s">
        <v>391</v>
      </c>
      <c r="AJ60" s="40">
        <f>IF(AN60=0,L60,0)</f>
        <v>0</v>
      </c>
      <c r="AK60" s="40">
        <f>IF(AN60=15,L60,0)</f>
        <v>0</v>
      </c>
      <c r="AL60" s="40">
        <f>IF(AN60=21,L60,0)</f>
        <v>0</v>
      </c>
      <c r="AN60" s="40">
        <v>21</v>
      </c>
      <c r="AO60" s="40">
        <f>I60*0.493581780538302</f>
        <v>0</v>
      </c>
      <c r="AP60" s="40">
        <f>I60*(1-0.493581780538302)</f>
        <v>0</v>
      </c>
      <c r="AQ60" s="38" t="s">
        <v>550</v>
      </c>
      <c r="AV60" s="40">
        <f>AW60+AX60</f>
        <v>0</v>
      </c>
      <c r="AW60" s="40">
        <f>H60*AO60</f>
        <v>0</v>
      </c>
      <c r="AX60" s="40">
        <f>H60*AP60</f>
        <v>0</v>
      </c>
      <c r="AY60" s="38" t="s">
        <v>354</v>
      </c>
      <c r="AZ60" s="38" t="s">
        <v>38</v>
      </c>
      <c r="BA60" s="31" t="s">
        <v>427</v>
      </c>
      <c r="BC60" s="40">
        <f>AW60+AX60</f>
        <v>0</v>
      </c>
      <c r="BD60" s="40">
        <f>I60/(100-BE60)*100</f>
        <v>0</v>
      </c>
      <c r="BE60" s="40">
        <v>0</v>
      </c>
      <c r="BF60" s="40">
        <f>60</f>
        <v>60</v>
      </c>
      <c r="BH60" s="40">
        <f>H60*AO60</f>
        <v>0</v>
      </c>
      <c r="BI60" s="40">
        <f>H60*AP60</f>
        <v>0</v>
      </c>
      <c r="BJ60" s="40">
        <f>H60*I60</f>
        <v>0</v>
      </c>
      <c r="BK60" s="40"/>
      <c r="BL60" s="40">
        <v>722</v>
      </c>
    </row>
    <row r="61" spans="1:64" ht="15" customHeight="1">
      <c r="A61" s="9" t="s">
        <v>47</v>
      </c>
      <c r="B61" s="33" t="s">
        <v>277</v>
      </c>
      <c r="C61" s="61" t="s">
        <v>274</v>
      </c>
      <c r="D61" s="61"/>
      <c r="E61" s="61"/>
      <c r="F61" s="61"/>
      <c r="G61" s="33" t="s">
        <v>13</v>
      </c>
      <c r="H61" s="40">
        <v>1</v>
      </c>
      <c r="I61" s="40">
        <v>0</v>
      </c>
      <c r="J61" s="40">
        <f>H61*AO61</f>
        <v>0</v>
      </c>
      <c r="K61" s="40">
        <f>H61*AP61</f>
        <v>0</v>
      </c>
      <c r="L61" s="40">
        <f>H61*I61</f>
        <v>0</v>
      </c>
      <c r="M61" s="19" t="s">
        <v>216</v>
      </c>
      <c r="Z61" s="40">
        <f>IF(AQ61="5",BJ61,0)</f>
        <v>0</v>
      </c>
      <c r="AB61" s="40">
        <f>IF(AQ61="1",BH61,0)</f>
        <v>0</v>
      </c>
      <c r="AC61" s="40">
        <f>IF(AQ61="1",BI61,0)</f>
        <v>0</v>
      </c>
      <c r="AD61" s="40">
        <f>IF(AQ61="7",BH61,0)</f>
        <v>0</v>
      </c>
      <c r="AE61" s="40">
        <f>IF(AQ61="7",BI61,0)</f>
        <v>0</v>
      </c>
      <c r="AF61" s="40">
        <f>IF(AQ61="2",BH61,0)</f>
        <v>0</v>
      </c>
      <c r="AG61" s="40">
        <f>IF(AQ61="2",BI61,0)</f>
        <v>0</v>
      </c>
      <c r="AH61" s="40">
        <f>IF(AQ61="0",BJ61,0)</f>
        <v>0</v>
      </c>
      <c r="AI61" s="31" t="s">
        <v>391</v>
      </c>
      <c r="AJ61" s="40">
        <f>IF(AN61=0,L61,0)</f>
        <v>0</v>
      </c>
      <c r="AK61" s="40">
        <f>IF(AN61=15,L61,0)</f>
        <v>0</v>
      </c>
      <c r="AL61" s="40">
        <f>IF(AN61=21,L61,0)</f>
        <v>0</v>
      </c>
      <c r="AN61" s="40">
        <v>21</v>
      </c>
      <c r="AO61" s="40">
        <f>I61*0.500380666268853</f>
        <v>0</v>
      </c>
      <c r="AP61" s="40">
        <f>I61*(1-0.500380666268853)</f>
        <v>0</v>
      </c>
      <c r="AQ61" s="38" t="s">
        <v>550</v>
      </c>
      <c r="AV61" s="40">
        <f>AW61+AX61</f>
        <v>0</v>
      </c>
      <c r="AW61" s="40">
        <f>H61*AO61</f>
        <v>0</v>
      </c>
      <c r="AX61" s="40">
        <f>H61*AP61</f>
        <v>0</v>
      </c>
      <c r="AY61" s="38" t="s">
        <v>354</v>
      </c>
      <c r="AZ61" s="38" t="s">
        <v>38</v>
      </c>
      <c r="BA61" s="31" t="s">
        <v>427</v>
      </c>
      <c r="BC61" s="40">
        <f>AW61+AX61</f>
        <v>0</v>
      </c>
      <c r="BD61" s="40">
        <f>I61/(100-BE61)*100</f>
        <v>0</v>
      </c>
      <c r="BE61" s="40">
        <v>0</v>
      </c>
      <c r="BF61" s="40">
        <f>61</f>
        <v>61</v>
      </c>
      <c r="BH61" s="40">
        <f>H61*AO61</f>
        <v>0</v>
      </c>
      <c r="BI61" s="40">
        <f>H61*AP61</f>
        <v>0</v>
      </c>
      <c r="BJ61" s="40">
        <f>H61*I61</f>
        <v>0</v>
      </c>
      <c r="BK61" s="40"/>
      <c r="BL61" s="40">
        <v>722</v>
      </c>
    </row>
    <row r="62" spans="1:64" ht="15" customHeight="1">
      <c r="A62" s="9" t="s">
        <v>366</v>
      </c>
      <c r="B62" s="33" t="s">
        <v>345</v>
      </c>
      <c r="C62" s="61" t="s">
        <v>269</v>
      </c>
      <c r="D62" s="61"/>
      <c r="E62" s="61"/>
      <c r="F62" s="61"/>
      <c r="G62" s="33" t="s">
        <v>469</v>
      </c>
      <c r="H62" s="40">
        <v>8.9</v>
      </c>
      <c r="I62" s="40">
        <v>0</v>
      </c>
      <c r="J62" s="40">
        <f>H62*AO62</f>
        <v>0</v>
      </c>
      <c r="K62" s="40">
        <f>H62*AP62</f>
        <v>0</v>
      </c>
      <c r="L62" s="40">
        <f>H62*I62</f>
        <v>0</v>
      </c>
      <c r="M62" s="19" t="s">
        <v>216</v>
      </c>
      <c r="Z62" s="40">
        <f>IF(AQ62="5",BJ62,0)</f>
        <v>0</v>
      </c>
      <c r="AB62" s="40">
        <f>IF(AQ62="1",BH62,0)</f>
        <v>0</v>
      </c>
      <c r="AC62" s="40">
        <f>IF(AQ62="1",BI62,0)</f>
        <v>0</v>
      </c>
      <c r="AD62" s="40">
        <f>IF(AQ62="7",BH62,0)</f>
        <v>0</v>
      </c>
      <c r="AE62" s="40">
        <f>IF(AQ62="7",BI62,0)</f>
        <v>0</v>
      </c>
      <c r="AF62" s="40">
        <f>IF(AQ62="2",BH62,0)</f>
        <v>0</v>
      </c>
      <c r="AG62" s="40">
        <f>IF(AQ62="2",BI62,0)</f>
        <v>0</v>
      </c>
      <c r="AH62" s="40">
        <f>IF(AQ62="0",BJ62,0)</f>
        <v>0</v>
      </c>
      <c r="AI62" s="31" t="s">
        <v>391</v>
      </c>
      <c r="AJ62" s="40">
        <f>IF(AN62=0,L62,0)</f>
        <v>0</v>
      </c>
      <c r="AK62" s="40">
        <f>IF(AN62=15,L62,0)</f>
        <v>0</v>
      </c>
      <c r="AL62" s="40">
        <f>IF(AN62=21,L62,0)</f>
        <v>0</v>
      </c>
      <c r="AN62" s="40">
        <v>21</v>
      </c>
      <c r="AO62" s="40">
        <f>I62*0.305018587360595</f>
        <v>0</v>
      </c>
      <c r="AP62" s="40">
        <f>I62*(1-0.305018587360595)</f>
        <v>0</v>
      </c>
      <c r="AQ62" s="38" t="s">
        <v>550</v>
      </c>
      <c r="AV62" s="40">
        <f>AW62+AX62</f>
        <v>0</v>
      </c>
      <c r="AW62" s="40">
        <f>H62*AO62</f>
        <v>0</v>
      </c>
      <c r="AX62" s="40">
        <f>H62*AP62</f>
        <v>0</v>
      </c>
      <c r="AY62" s="38" t="s">
        <v>354</v>
      </c>
      <c r="AZ62" s="38" t="s">
        <v>38</v>
      </c>
      <c r="BA62" s="31" t="s">
        <v>427</v>
      </c>
      <c r="BC62" s="40">
        <f>AW62+AX62</f>
        <v>0</v>
      </c>
      <c r="BD62" s="40">
        <f>I62/(100-BE62)*100</f>
        <v>0</v>
      </c>
      <c r="BE62" s="40">
        <v>0</v>
      </c>
      <c r="BF62" s="40">
        <f>62</f>
        <v>62</v>
      </c>
      <c r="BH62" s="40">
        <f>H62*AO62</f>
        <v>0</v>
      </c>
      <c r="BI62" s="40">
        <f>H62*AP62</f>
        <v>0</v>
      </c>
      <c r="BJ62" s="40">
        <f>H62*I62</f>
        <v>0</v>
      </c>
      <c r="BK62" s="40"/>
      <c r="BL62" s="40">
        <v>722</v>
      </c>
    </row>
    <row r="63" spans="1:13" ht="15" customHeight="1">
      <c r="A63" s="55"/>
      <c r="C63" s="14" t="s">
        <v>421</v>
      </c>
      <c r="F63" s="14" t="s">
        <v>391</v>
      </c>
      <c r="H63" s="45">
        <v>8.9</v>
      </c>
      <c r="M63" s="18"/>
    </row>
    <row r="64" spans="1:64" ht="15" customHeight="1">
      <c r="A64" s="9" t="s">
        <v>336</v>
      </c>
      <c r="B64" s="33" t="s">
        <v>99</v>
      </c>
      <c r="C64" s="61" t="s">
        <v>460</v>
      </c>
      <c r="D64" s="61"/>
      <c r="E64" s="61"/>
      <c r="F64" s="61"/>
      <c r="G64" s="33" t="s">
        <v>469</v>
      </c>
      <c r="H64" s="40">
        <v>8.9</v>
      </c>
      <c r="I64" s="40">
        <v>0</v>
      </c>
      <c r="J64" s="40">
        <f>H64*AO64</f>
        <v>0</v>
      </c>
      <c r="K64" s="40">
        <f>H64*AP64</f>
        <v>0</v>
      </c>
      <c r="L64" s="40">
        <f>H64*I64</f>
        <v>0</v>
      </c>
      <c r="M64" s="19" t="s">
        <v>216</v>
      </c>
      <c r="Z64" s="40">
        <f>IF(AQ64="5",BJ64,0)</f>
        <v>0</v>
      </c>
      <c r="AB64" s="40">
        <f>IF(AQ64="1",BH64,0)</f>
        <v>0</v>
      </c>
      <c r="AC64" s="40">
        <f>IF(AQ64="1",BI64,0)</f>
        <v>0</v>
      </c>
      <c r="AD64" s="40">
        <f>IF(AQ64="7",BH64,0)</f>
        <v>0</v>
      </c>
      <c r="AE64" s="40">
        <f>IF(AQ64="7",BI64,0)</f>
        <v>0</v>
      </c>
      <c r="AF64" s="40">
        <f>IF(AQ64="2",BH64,0)</f>
        <v>0</v>
      </c>
      <c r="AG64" s="40">
        <f>IF(AQ64="2",BI64,0)</f>
        <v>0</v>
      </c>
      <c r="AH64" s="40">
        <f>IF(AQ64="0",BJ64,0)</f>
        <v>0</v>
      </c>
      <c r="AI64" s="31" t="s">
        <v>391</v>
      </c>
      <c r="AJ64" s="40">
        <f>IF(AN64=0,L64,0)</f>
        <v>0</v>
      </c>
      <c r="AK64" s="40">
        <f>IF(AN64=15,L64,0)</f>
        <v>0</v>
      </c>
      <c r="AL64" s="40">
        <f>IF(AN64=21,L64,0)</f>
        <v>0</v>
      </c>
      <c r="AN64" s="40">
        <v>21</v>
      </c>
      <c r="AO64" s="40">
        <f>I64*0.0501624560705523</f>
        <v>0</v>
      </c>
      <c r="AP64" s="40">
        <f>I64*(1-0.0501624560705523)</f>
        <v>0</v>
      </c>
      <c r="AQ64" s="38" t="s">
        <v>550</v>
      </c>
      <c r="AV64" s="40">
        <f>AW64+AX64</f>
        <v>0</v>
      </c>
      <c r="AW64" s="40">
        <f>H64*AO64</f>
        <v>0</v>
      </c>
      <c r="AX64" s="40">
        <f>H64*AP64</f>
        <v>0</v>
      </c>
      <c r="AY64" s="38" t="s">
        <v>354</v>
      </c>
      <c r="AZ64" s="38" t="s">
        <v>38</v>
      </c>
      <c r="BA64" s="31" t="s">
        <v>427</v>
      </c>
      <c r="BC64" s="40">
        <f>AW64+AX64</f>
        <v>0</v>
      </c>
      <c r="BD64" s="40">
        <f>I64/(100-BE64)*100</f>
        <v>0</v>
      </c>
      <c r="BE64" s="40">
        <v>0</v>
      </c>
      <c r="BF64" s="40">
        <f>64</f>
        <v>64</v>
      </c>
      <c r="BH64" s="40">
        <f>H64*AO64</f>
        <v>0</v>
      </c>
      <c r="BI64" s="40">
        <f>H64*AP64</f>
        <v>0</v>
      </c>
      <c r="BJ64" s="40">
        <f>H64*I64</f>
        <v>0</v>
      </c>
      <c r="BK64" s="40"/>
      <c r="BL64" s="40">
        <v>722</v>
      </c>
    </row>
    <row r="65" spans="1:64" ht="15" customHeight="1">
      <c r="A65" s="9" t="s">
        <v>474</v>
      </c>
      <c r="B65" s="33" t="s">
        <v>468</v>
      </c>
      <c r="C65" s="61" t="s">
        <v>303</v>
      </c>
      <c r="D65" s="61"/>
      <c r="E65" s="61"/>
      <c r="F65" s="61"/>
      <c r="G65" s="33" t="s">
        <v>491</v>
      </c>
      <c r="H65" s="40">
        <v>1.25</v>
      </c>
      <c r="I65" s="40">
        <v>0</v>
      </c>
      <c r="J65" s="40">
        <f>H65*AO65</f>
        <v>0</v>
      </c>
      <c r="K65" s="40">
        <f>H65*AP65</f>
        <v>0</v>
      </c>
      <c r="L65" s="40">
        <f>H65*I65</f>
        <v>0</v>
      </c>
      <c r="M65" s="19" t="s">
        <v>216</v>
      </c>
      <c r="Z65" s="40">
        <f>IF(AQ65="5",BJ65,0)</f>
        <v>0</v>
      </c>
      <c r="AB65" s="40">
        <f>IF(AQ65="1",BH65,0)</f>
        <v>0</v>
      </c>
      <c r="AC65" s="40">
        <f>IF(AQ65="1",BI65,0)</f>
        <v>0</v>
      </c>
      <c r="AD65" s="40">
        <f>IF(AQ65="7",BH65,0)</f>
        <v>0</v>
      </c>
      <c r="AE65" s="40">
        <f>IF(AQ65="7",BI65,0)</f>
        <v>0</v>
      </c>
      <c r="AF65" s="40">
        <f>IF(AQ65="2",BH65,0)</f>
        <v>0</v>
      </c>
      <c r="AG65" s="40">
        <f>IF(AQ65="2",BI65,0)</f>
        <v>0</v>
      </c>
      <c r="AH65" s="40">
        <f>IF(AQ65="0",BJ65,0)</f>
        <v>0</v>
      </c>
      <c r="AI65" s="31" t="s">
        <v>391</v>
      </c>
      <c r="AJ65" s="40">
        <f>IF(AN65=0,L65,0)</f>
        <v>0</v>
      </c>
      <c r="AK65" s="40">
        <f>IF(AN65=15,L65,0)</f>
        <v>0</v>
      </c>
      <c r="AL65" s="40">
        <f>IF(AN65=21,L65,0)</f>
        <v>0</v>
      </c>
      <c r="AN65" s="40">
        <v>21</v>
      </c>
      <c r="AO65" s="40">
        <f>I65*0</f>
        <v>0</v>
      </c>
      <c r="AP65" s="40">
        <f>I65*(1-0)</f>
        <v>0</v>
      </c>
      <c r="AQ65" s="38" t="s">
        <v>300</v>
      </c>
      <c r="AV65" s="40">
        <f>AW65+AX65</f>
        <v>0</v>
      </c>
      <c r="AW65" s="40">
        <f>H65*AO65</f>
        <v>0</v>
      </c>
      <c r="AX65" s="40">
        <f>H65*AP65</f>
        <v>0</v>
      </c>
      <c r="AY65" s="38" t="s">
        <v>354</v>
      </c>
      <c r="AZ65" s="38" t="s">
        <v>38</v>
      </c>
      <c r="BA65" s="31" t="s">
        <v>427</v>
      </c>
      <c r="BC65" s="40">
        <f>AW65+AX65</f>
        <v>0</v>
      </c>
      <c r="BD65" s="40">
        <f>I65/(100-BE65)*100</f>
        <v>0</v>
      </c>
      <c r="BE65" s="40">
        <v>0</v>
      </c>
      <c r="BF65" s="40">
        <f>65</f>
        <v>65</v>
      </c>
      <c r="BH65" s="40">
        <f>H65*AO65</f>
        <v>0</v>
      </c>
      <c r="BI65" s="40">
        <f>H65*AP65</f>
        <v>0</v>
      </c>
      <c r="BJ65" s="40">
        <f>H65*I65</f>
        <v>0</v>
      </c>
      <c r="BK65" s="40"/>
      <c r="BL65" s="40">
        <v>722</v>
      </c>
    </row>
    <row r="66" spans="1:47" ht="15" customHeight="1">
      <c r="A66" s="12" t="s">
        <v>391</v>
      </c>
      <c r="B66" s="36" t="s">
        <v>536</v>
      </c>
      <c r="C66" s="76" t="s">
        <v>337</v>
      </c>
      <c r="D66" s="76"/>
      <c r="E66" s="76"/>
      <c r="F66" s="76"/>
      <c r="G66" s="22" t="s">
        <v>513</v>
      </c>
      <c r="H66" s="22" t="s">
        <v>513</v>
      </c>
      <c r="I66" s="22" t="s">
        <v>513</v>
      </c>
      <c r="J66" s="17">
        <f>SUM(J67:J86)</f>
        <v>0</v>
      </c>
      <c r="K66" s="17">
        <f>SUM(K67:K86)</f>
        <v>0</v>
      </c>
      <c r="L66" s="17">
        <f>SUM(L67:L86)</f>
        <v>0</v>
      </c>
      <c r="M66" s="51" t="s">
        <v>391</v>
      </c>
      <c r="AI66" s="31" t="s">
        <v>391</v>
      </c>
      <c r="AS66" s="17">
        <f>SUM(AJ67:AJ86)</f>
        <v>0</v>
      </c>
      <c r="AT66" s="17">
        <f>SUM(AK67:AK86)</f>
        <v>0</v>
      </c>
      <c r="AU66" s="17">
        <f>SUM(AL67:AL86)</f>
        <v>0</v>
      </c>
    </row>
    <row r="67" spans="1:64" ht="15" customHeight="1">
      <c r="A67" s="9" t="s">
        <v>134</v>
      </c>
      <c r="B67" s="33" t="s">
        <v>577</v>
      </c>
      <c r="C67" s="61" t="s">
        <v>148</v>
      </c>
      <c r="D67" s="61"/>
      <c r="E67" s="61"/>
      <c r="F67" s="61"/>
      <c r="G67" s="33" t="s">
        <v>202</v>
      </c>
      <c r="H67" s="40">
        <v>1</v>
      </c>
      <c r="I67" s="40">
        <v>0</v>
      </c>
      <c r="J67" s="40">
        <f aca="true" t="shared" si="22" ref="J67:J86">H67*AO67</f>
        <v>0</v>
      </c>
      <c r="K67" s="40">
        <f aca="true" t="shared" si="23" ref="K67:K86">H67*AP67</f>
        <v>0</v>
      </c>
      <c r="L67" s="40">
        <f aca="true" t="shared" si="24" ref="L67:L86">H67*I67</f>
        <v>0</v>
      </c>
      <c r="M67" s="19" t="s">
        <v>216</v>
      </c>
      <c r="Z67" s="40">
        <f aca="true" t="shared" si="25" ref="Z67:Z86">IF(AQ67="5",BJ67,0)</f>
        <v>0</v>
      </c>
      <c r="AB67" s="40">
        <f aca="true" t="shared" si="26" ref="AB67:AB86">IF(AQ67="1",BH67,0)</f>
        <v>0</v>
      </c>
      <c r="AC67" s="40">
        <f aca="true" t="shared" si="27" ref="AC67:AC86">IF(AQ67="1",BI67,0)</f>
        <v>0</v>
      </c>
      <c r="AD67" s="40">
        <f aca="true" t="shared" si="28" ref="AD67:AD86">IF(AQ67="7",BH67,0)</f>
        <v>0</v>
      </c>
      <c r="AE67" s="40">
        <f aca="true" t="shared" si="29" ref="AE67:AE86">IF(AQ67="7",BI67,0)</f>
        <v>0</v>
      </c>
      <c r="AF67" s="40">
        <f aca="true" t="shared" si="30" ref="AF67:AF86">IF(AQ67="2",BH67,0)</f>
        <v>0</v>
      </c>
      <c r="AG67" s="40">
        <f aca="true" t="shared" si="31" ref="AG67:AG86">IF(AQ67="2",BI67,0)</f>
        <v>0</v>
      </c>
      <c r="AH67" s="40">
        <f aca="true" t="shared" si="32" ref="AH67:AH86">IF(AQ67="0",BJ67,0)</f>
        <v>0</v>
      </c>
      <c r="AI67" s="31" t="s">
        <v>391</v>
      </c>
      <c r="AJ67" s="40">
        <f aca="true" t="shared" si="33" ref="AJ67:AJ86">IF(AN67=0,L67,0)</f>
        <v>0</v>
      </c>
      <c r="AK67" s="40">
        <f aca="true" t="shared" si="34" ref="AK67:AK86">IF(AN67=15,L67,0)</f>
        <v>0</v>
      </c>
      <c r="AL67" s="40">
        <f aca="true" t="shared" si="35" ref="AL67:AL86">IF(AN67=21,L67,0)</f>
        <v>0</v>
      </c>
      <c r="AN67" s="40">
        <v>21</v>
      </c>
      <c r="AO67" s="40">
        <f>I67*0</f>
        <v>0</v>
      </c>
      <c r="AP67" s="40">
        <f>I67*(1-0)</f>
        <v>0</v>
      </c>
      <c r="AQ67" s="38" t="s">
        <v>550</v>
      </c>
      <c r="AV67" s="40">
        <f aca="true" t="shared" si="36" ref="AV67:AV86">AW67+AX67</f>
        <v>0</v>
      </c>
      <c r="AW67" s="40">
        <f aca="true" t="shared" si="37" ref="AW67:AW86">H67*AO67</f>
        <v>0</v>
      </c>
      <c r="AX67" s="40">
        <f aca="true" t="shared" si="38" ref="AX67:AX86">H67*AP67</f>
        <v>0</v>
      </c>
      <c r="AY67" s="38" t="s">
        <v>257</v>
      </c>
      <c r="AZ67" s="38" t="s">
        <v>38</v>
      </c>
      <c r="BA67" s="31" t="s">
        <v>427</v>
      </c>
      <c r="BC67" s="40">
        <f aca="true" t="shared" si="39" ref="BC67:BC86">AW67+AX67</f>
        <v>0</v>
      </c>
      <c r="BD67" s="40">
        <f aca="true" t="shared" si="40" ref="BD67:BD86">I67/(100-BE67)*100</f>
        <v>0</v>
      </c>
      <c r="BE67" s="40">
        <v>0</v>
      </c>
      <c r="BF67" s="40">
        <f>67</f>
        <v>67</v>
      </c>
      <c r="BH67" s="40">
        <f aca="true" t="shared" si="41" ref="BH67:BH86">H67*AO67</f>
        <v>0</v>
      </c>
      <c r="BI67" s="40">
        <f aca="true" t="shared" si="42" ref="BI67:BI86">H67*AP67</f>
        <v>0</v>
      </c>
      <c r="BJ67" s="40">
        <f aca="true" t="shared" si="43" ref="BJ67:BJ86">H67*I67</f>
        <v>0</v>
      </c>
      <c r="BK67" s="40"/>
      <c r="BL67" s="40">
        <v>725</v>
      </c>
    </row>
    <row r="68" spans="1:64" ht="15" customHeight="1">
      <c r="A68" s="9" t="s">
        <v>618</v>
      </c>
      <c r="B68" s="33" t="s">
        <v>581</v>
      </c>
      <c r="C68" s="61" t="s">
        <v>333</v>
      </c>
      <c r="D68" s="61"/>
      <c r="E68" s="61"/>
      <c r="F68" s="61"/>
      <c r="G68" s="33" t="s">
        <v>202</v>
      </c>
      <c r="H68" s="40">
        <v>1</v>
      </c>
      <c r="I68" s="40">
        <v>0</v>
      </c>
      <c r="J68" s="40">
        <f t="shared" si="22"/>
        <v>0</v>
      </c>
      <c r="K68" s="40">
        <f t="shared" si="23"/>
        <v>0</v>
      </c>
      <c r="L68" s="40">
        <f t="shared" si="24"/>
        <v>0</v>
      </c>
      <c r="M68" s="19" t="s">
        <v>216</v>
      </c>
      <c r="Z68" s="40">
        <f t="shared" si="25"/>
        <v>0</v>
      </c>
      <c r="AB68" s="40">
        <f t="shared" si="26"/>
        <v>0</v>
      </c>
      <c r="AC68" s="40">
        <f t="shared" si="27"/>
        <v>0</v>
      </c>
      <c r="AD68" s="40">
        <f t="shared" si="28"/>
        <v>0</v>
      </c>
      <c r="AE68" s="40">
        <f t="shared" si="29"/>
        <v>0</v>
      </c>
      <c r="AF68" s="40">
        <f t="shared" si="30"/>
        <v>0</v>
      </c>
      <c r="AG68" s="40">
        <f t="shared" si="31"/>
        <v>0</v>
      </c>
      <c r="AH68" s="40">
        <f t="shared" si="32"/>
        <v>0</v>
      </c>
      <c r="AI68" s="31" t="s">
        <v>391</v>
      </c>
      <c r="AJ68" s="40">
        <f t="shared" si="33"/>
        <v>0</v>
      </c>
      <c r="AK68" s="40">
        <f t="shared" si="34"/>
        <v>0</v>
      </c>
      <c r="AL68" s="40">
        <f t="shared" si="35"/>
        <v>0</v>
      </c>
      <c r="AN68" s="40">
        <v>21</v>
      </c>
      <c r="AO68" s="40">
        <f>I68*0</f>
        <v>0</v>
      </c>
      <c r="AP68" s="40">
        <f>I68*(1-0)</f>
        <v>0</v>
      </c>
      <c r="AQ68" s="38" t="s">
        <v>550</v>
      </c>
      <c r="AV68" s="40">
        <f t="shared" si="36"/>
        <v>0</v>
      </c>
      <c r="AW68" s="40">
        <f t="shared" si="37"/>
        <v>0</v>
      </c>
      <c r="AX68" s="40">
        <f t="shared" si="38"/>
        <v>0</v>
      </c>
      <c r="AY68" s="38" t="s">
        <v>257</v>
      </c>
      <c r="AZ68" s="38" t="s">
        <v>38</v>
      </c>
      <c r="BA68" s="31" t="s">
        <v>427</v>
      </c>
      <c r="BC68" s="40">
        <f t="shared" si="39"/>
        <v>0</v>
      </c>
      <c r="BD68" s="40">
        <f t="shared" si="40"/>
        <v>0</v>
      </c>
      <c r="BE68" s="40">
        <v>0</v>
      </c>
      <c r="BF68" s="40">
        <f>68</f>
        <v>68</v>
      </c>
      <c r="BH68" s="40">
        <f t="shared" si="41"/>
        <v>0</v>
      </c>
      <c r="BI68" s="40">
        <f t="shared" si="42"/>
        <v>0</v>
      </c>
      <c r="BJ68" s="40">
        <f t="shared" si="43"/>
        <v>0</v>
      </c>
      <c r="BK68" s="40"/>
      <c r="BL68" s="40">
        <v>725</v>
      </c>
    </row>
    <row r="69" spans="1:64" ht="15" customHeight="1">
      <c r="A69" s="9" t="s">
        <v>498</v>
      </c>
      <c r="B69" s="33" t="s">
        <v>14</v>
      </c>
      <c r="C69" s="61" t="s">
        <v>17</v>
      </c>
      <c r="D69" s="61"/>
      <c r="E69" s="61"/>
      <c r="F69" s="61"/>
      <c r="G69" s="33" t="s">
        <v>202</v>
      </c>
      <c r="H69" s="40">
        <v>2</v>
      </c>
      <c r="I69" s="40">
        <v>0</v>
      </c>
      <c r="J69" s="40">
        <f t="shared" si="22"/>
        <v>0</v>
      </c>
      <c r="K69" s="40">
        <f t="shared" si="23"/>
        <v>0</v>
      </c>
      <c r="L69" s="40">
        <f t="shared" si="24"/>
        <v>0</v>
      </c>
      <c r="M69" s="19" t="s">
        <v>216</v>
      </c>
      <c r="Z69" s="40">
        <f t="shared" si="25"/>
        <v>0</v>
      </c>
      <c r="AB69" s="40">
        <f t="shared" si="26"/>
        <v>0</v>
      </c>
      <c r="AC69" s="40">
        <f t="shared" si="27"/>
        <v>0</v>
      </c>
      <c r="AD69" s="40">
        <f t="shared" si="28"/>
        <v>0</v>
      </c>
      <c r="AE69" s="40">
        <f t="shared" si="29"/>
        <v>0</v>
      </c>
      <c r="AF69" s="40">
        <f t="shared" si="30"/>
        <v>0</v>
      </c>
      <c r="AG69" s="40">
        <f t="shared" si="31"/>
        <v>0</v>
      </c>
      <c r="AH69" s="40">
        <f t="shared" si="32"/>
        <v>0</v>
      </c>
      <c r="AI69" s="31" t="s">
        <v>391</v>
      </c>
      <c r="AJ69" s="40">
        <f t="shared" si="33"/>
        <v>0</v>
      </c>
      <c r="AK69" s="40">
        <f t="shared" si="34"/>
        <v>0</v>
      </c>
      <c r="AL69" s="40">
        <f t="shared" si="35"/>
        <v>0</v>
      </c>
      <c r="AN69" s="40">
        <v>21</v>
      </c>
      <c r="AO69" s="40">
        <f>I69*0</f>
        <v>0</v>
      </c>
      <c r="AP69" s="40">
        <f>I69*(1-0)</f>
        <v>0</v>
      </c>
      <c r="AQ69" s="38" t="s">
        <v>550</v>
      </c>
      <c r="AV69" s="40">
        <f t="shared" si="36"/>
        <v>0</v>
      </c>
      <c r="AW69" s="40">
        <f t="shared" si="37"/>
        <v>0</v>
      </c>
      <c r="AX69" s="40">
        <f t="shared" si="38"/>
        <v>0</v>
      </c>
      <c r="AY69" s="38" t="s">
        <v>257</v>
      </c>
      <c r="AZ69" s="38" t="s">
        <v>38</v>
      </c>
      <c r="BA69" s="31" t="s">
        <v>427</v>
      </c>
      <c r="BC69" s="40">
        <f t="shared" si="39"/>
        <v>0</v>
      </c>
      <c r="BD69" s="40">
        <f t="shared" si="40"/>
        <v>0</v>
      </c>
      <c r="BE69" s="40">
        <v>0</v>
      </c>
      <c r="BF69" s="40">
        <f>69</f>
        <v>69</v>
      </c>
      <c r="BH69" s="40">
        <f t="shared" si="41"/>
        <v>0</v>
      </c>
      <c r="BI69" s="40">
        <f t="shared" si="42"/>
        <v>0</v>
      </c>
      <c r="BJ69" s="40">
        <f t="shared" si="43"/>
        <v>0</v>
      </c>
      <c r="BK69" s="40"/>
      <c r="BL69" s="40">
        <v>725</v>
      </c>
    </row>
    <row r="70" spans="1:64" ht="15" customHeight="1">
      <c r="A70" s="9" t="s">
        <v>332</v>
      </c>
      <c r="B70" s="33" t="s">
        <v>236</v>
      </c>
      <c r="C70" s="61" t="s">
        <v>138</v>
      </c>
      <c r="D70" s="61"/>
      <c r="E70" s="61"/>
      <c r="F70" s="61"/>
      <c r="G70" s="33" t="s">
        <v>154</v>
      </c>
      <c r="H70" s="40">
        <v>1</v>
      </c>
      <c r="I70" s="40">
        <v>0</v>
      </c>
      <c r="J70" s="40">
        <f t="shared" si="22"/>
        <v>0</v>
      </c>
      <c r="K70" s="40">
        <f t="shared" si="23"/>
        <v>0</v>
      </c>
      <c r="L70" s="40">
        <f t="shared" si="24"/>
        <v>0</v>
      </c>
      <c r="M70" s="19" t="s">
        <v>216</v>
      </c>
      <c r="Z70" s="40">
        <f t="shared" si="25"/>
        <v>0</v>
      </c>
      <c r="AB70" s="40">
        <f t="shared" si="26"/>
        <v>0</v>
      </c>
      <c r="AC70" s="40">
        <f t="shared" si="27"/>
        <v>0</v>
      </c>
      <c r="AD70" s="40">
        <f t="shared" si="28"/>
        <v>0</v>
      </c>
      <c r="AE70" s="40">
        <f t="shared" si="29"/>
        <v>0</v>
      </c>
      <c r="AF70" s="40">
        <f t="shared" si="30"/>
        <v>0</v>
      </c>
      <c r="AG70" s="40">
        <f t="shared" si="31"/>
        <v>0</v>
      </c>
      <c r="AH70" s="40">
        <f t="shared" si="32"/>
        <v>0</v>
      </c>
      <c r="AI70" s="31" t="s">
        <v>391</v>
      </c>
      <c r="AJ70" s="40">
        <f t="shared" si="33"/>
        <v>0</v>
      </c>
      <c r="AK70" s="40">
        <f t="shared" si="34"/>
        <v>0</v>
      </c>
      <c r="AL70" s="40">
        <f t="shared" si="35"/>
        <v>0</v>
      </c>
      <c r="AN70" s="40">
        <v>21</v>
      </c>
      <c r="AO70" s="40">
        <f>I70*0</f>
        <v>0</v>
      </c>
      <c r="AP70" s="40">
        <f>I70*(1-0)</f>
        <v>0</v>
      </c>
      <c r="AQ70" s="38" t="s">
        <v>550</v>
      </c>
      <c r="AV70" s="40">
        <f t="shared" si="36"/>
        <v>0</v>
      </c>
      <c r="AW70" s="40">
        <f t="shared" si="37"/>
        <v>0</v>
      </c>
      <c r="AX70" s="40">
        <f t="shared" si="38"/>
        <v>0</v>
      </c>
      <c r="AY70" s="38" t="s">
        <v>257</v>
      </c>
      <c r="AZ70" s="38" t="s">
        <v>38</v>
      </c>
      <c r="BA70" s="31" t="s">
        <v>427</v>
      </c>
      <c r="BC70" s="40">
        <f t="shared" si="39"/>
        <v>0</v>
      </c>
      <c r="BD70" s="40">
        <f t="shared" si="40"/>
        <v>0</v>
      </c>
      <c r="BE70" s="40">
        <v>0</v>
      </c>
      <c r="BF70" s="40">
        <f>70</f>
        <v>70</v>
      </c>
      <c r="BH70" s="40">
        <f t="shared" si="41"/>
        <v>0</v>
      </c>
      <c r="BI70" s="40">
        <f t="shared" si="42"/>
        <v>0</v>
      </c>
      <c r="BJ70" s="40">
        <f t="shared" si="43"/>
        <v>0</v>
      </c>
      <c r="BK70" s="40"/>
      <c r="BL70" s="40">
        <v>725</v>
      </c>
    </row>
    <row r="71" spans="1:64" ht="15" customHeight="1">
      <c r="A71" s="9" t="s">
        <v>541</v>
      </c>
      <c r="B71" s="33" t="s">
        <v>45</v>
      </c>
      <c r="C71" s="61" t="s">
        <v>259</v>
      </c>
      <c r="D71" s="61"/>
      <c r="E71" s="61"/>
      <c r="F71" s="61"/>
      <c r="G71" s="33" t="s">
        <v>202</v>
      </c>
      <c r="H71" s="40">
        <v>1</v>
      </c>
      <c r="I71" s="40">
        <v>0</v>
      </c>
      <c r="J71" s="40">
        <f t="shared" si="22"/>
        <v>0</v>
      </c>
      <c r="K71" s="40">
        <f t="shared" si="23"/>
        <v>0</v>
      </c>
      <c r="L71" s="40">
        <f t="shared" si="24"/>
        <v>0</v>
      </c>
      <c r="M71" s="19" t="s">
        <v>216</v>
      </c>
      <c r="Z71" s="40">
        <f t="shared" si="25"/>
        <v>0</v>
      </c>
      <c r="AB71" s="40">
        <f t="shared" si="26"/>
        <v>0</v>
      </c>
      <c r="AC71" s="40">
        <f t="shared" si="27"/>
        <v>0</v>
      </c>
      <c r="AD71" s="40">
        <f t="shared" si="28"/>
        <v>0</v>
      </c>
      <c r="AE71" s="40">
        <f t="shared" si="29"/>
        <v>0</v>
      </c>
      <c r="AF71" s="40">
        <f t="shared" si="30"/>
        <v>0</v>
      </c>
      <c r="AG71" s="40">
        <f t="shared" si="31"/>
        <v>0</v>
      </c>
      <c r="AH71" s="40">
        <f t="shared" si="32"/>
        <v>0</v>
      </c>
      <c r="AI71" s="31" t="s">
        <v>391</v>
      </c>
      <c r="AJ71" s="40">
        <f t="shared" si="33"/>
        <v>0</v>
      </c>
      <c r="AK71" s="40">
        <f t="shared" si="34"/>
        <v>0</v>
      </c>
      <c r="AL71" s="40">
        <f t="shared" si="35"/>
        <v>0</v>
      </c>
      <c r="AN71" s="40">
        <v>21</v>
      </c>
      <c r="AO71" s="40">
        <f>I71*0.838050221565731</f>
        <v>0</v>
      </c>
      <c r="AP71" s="40">
        <f>I71*(1-0.838050221565731)</f>
        <v>0</v>
      </c>
      <c r="AQ71" s="38" t="s">
        <v>550</v>
      </c>
      <c r="AV71" s="40">
        <f t="shared" si="36"/>
        <v>0</v>
      </c>
      <c r="AW71" s="40">
        <f t="shared" si="37"/>
        <v>0</v>
      </c>
      <c r="AX71" s="40">
        <f t="shared" si="38"/>
        <v>0</v>
      </c>
      <c r="AY71" s="38" t="s">
        <v>257</v>
      </c>
      <c r="AZ71" s="38" t="s">
        <v>38</v>
      </c>
      <c r="BA71" s="31" t="s">
        <v>427</v>
      </c>
      <c r="BC71" s="40">
        <f t="shared" si="39"/>
        <v>0</v>
      </c>
      <c r="BD71" s="40">
        <f t="shared" si="40"/>
        <v>0</v>
      </c>
      <c r="BE71" s="40">
        <v>0</v>
      </c>
      <c r="BF71" s="40">
        <f>71</f>
        <v>71</v>
      </c>
      <c r="BH71" s="40">
        <f t="shared" si="41"/>
        <v>0</v>
      </c>
      <c r="BI71" s="40">
        <f t="shared" si="42"/>
        <v>0</v>
      </c>
      <c r="BJ71" s="40">
        <f t="shared" si="43"/>
        <v>0</v>
      </c>
      <c r="BK71" s="40"/>
      <c r="BL71" s="40">
        <v>725</v>
      </c>
    </row>
    <row r="72" spans="1:64" ht="15" customHeight="1">
      <c r="A72" s="9" t="s">
        <v>342</v>
      </c>
      <c r="B72" s="33" t="s">
        <v>178</v>
      </c>
      <c r="C72" s="61" t="s">
        <v>476</v>
      </c>
      <c r="D72" s="61"/>
      <c r="E72" s="61"/>
      <c r="F72" s="61"/>
      <c r="G72" s="33" t="s">
        <v>202</v>
      </c>
      <c r="H72" s="40">
        <v>1</v>
      </c>
      <c r="I72" s="40">
        <v>0</v>
      </c>
      <c r="J72" s="40">
        <f t="shared" si="22"/>
        <v>0</v>
      </c>
      <c r="K72" s="40">
        <f t="shared" si="23"/>
        <v>0</v>
      </c>
      <c r="L72" s="40">
        <f t="shared" si="24"/>
        <v>0</v>
      </c>
      <c r="M72" s="19" t="s">
        <v>216</v>
      </c>
      <c r="Z72" s="40">
        <f t="shared" si="25"/>
        <v>0</v>
      </c>
      <c r="AB72" s="40">
        <f t="shared" si="26"/>
        <v>0</v>
      </c>
      <c r="AC72" s="40">
        <f t="shared" si="27"/>
        <v>0</v>
      </c>
      <c r="AD72" s="40">
        <f t="shared" si="28"/>
        <v>0</v>
      </c>
      <c r="AE72" s="40">
        <f t="shared" si="29"/>
        <v>0</v>
      </c>
      <c r="AF72" s="40">
        <f t="shared" si="30"/>
        <v>0</v>
      </c>
      <c r="AG72" s="40">
        <f t="shared" si="31"/>
        <v>0</v>
      </c>
      <c r="AH72" s="40">
        <f t="shared" si="32"/>
        <v>0</v>
      </c>
      <c r="AI72" s="31" t="s">
        <v>391</v>
      </c>
      <c r="AJ72" s="40">
        <f t="shared" si="33"/>
        <v>0</v>
      </c>
      <c r="AK72" s="40">
        <f t="shared" si="34"/>
        <v>0</v>
      </c>
      <c r="AL72" s="40">
        <f t="shared" si="35"/>
        <v>0</v>
      </c>
      <c r="AN72" s="40">
        <v>21</v>
      </c>
      <c r="AO72" s="40">
        <f>I72*0.653629782833506</f>
        <v>0</v>
      </c>
      <c r="AP72" s="40">
        <f>I72*(1-0.653629782833506)</f>
        <v>0</v>
      </c>
      <c r="AQ72" s="38" t="s">
        <v>550</v>
      </c>
      <c r="AV72" s="40">
        <f t="shared" si="36"/>
        <v>0</v>
      </c>
      <c r="AW72" s="40">
        <f t="shared" si="37"/>
        <v>0</v>
      </c>
      <c r="AX72" s="40">
        <f t="shared" si="38"/>
        <v>0</v>
      </c>
      <c r="AY72" s="38" t="s">
        <v>257</v>
      </c>
      <c r="AZ72" s="38" t="s">
        <v>38</v>
      </c>
      <c r="BA72" s="31" t="s">
        <v>427</v>
      </c>
      <c r="BC72" s="40">
        <f t="shared" si="39"/>
        <v>0</v>
      </c>
      <c r="BD72" s="40">
        <f t="shared" si="40"/>
        <v>0</v>
      </c>
      <c r="BE72" s="40">
        <v>0</v>
      </c>
      <c r="BF72" s="40">
        <f>72</f>
        <v>72</v>
      </c>
      <c r="BH72" s="40">
        <f t="shared" si="41"/>
        <v>0</v>
      </c>
      <c r="BI72" s="40">
        <f t="shared" si="42"/>
        <v>0</v>
      </c>
      <c r="BJ72" s="40">
        <f t="shared" si="43"/>
        <v>0</v>
      </c>
      <c r="BK72" s="40"/>
      <c r="BL72" s="40">
        <v>725</v>
      </c>
    </row>
    <row r="73" spans="1:64" ht="15" customHeight="1">
      <c r="A73" s="9" t="s">
        <v>365</v>
      </c>
      <c r="B73" s="33" t="s">
        <v>307</v>
      </c>
      <c r="C73" s="61" t="s">
        <v>159</v>
      </c>
      <c r="D73" s="61"/>
      <c r="E73" s="61"/>
      <c r="F73" s="61"/>
      <c r="G73" s="33" t="s">
        <v>202</v>
      </c>
      <c r="H73" s="40">
        <v>1</v>
      </c>
      <c r="I73" s="40">
        <v>0</v>
      </c>
      <c r="J73" s="40">
        <f t="shared" si="22"/>
        <v>0</v>
      </c>
      <c r="K73" s="40">
        <f t="shared" si="23"/>
        <v>0</v>
      </c>
      <c r="L73" s="40">
        <f t="shared" si="24"/>
        <v>0</v>
      </c>
      <c r="M73" s="19" t="s">
        <v>391</v>
      </c>
      <c r="Z73" s="40">
        <f t="shared" si="25"/>
        <v>0</v>
      </c>
      <c r="AB73" s="40">
        <f t="shared" si="26"/>
        <v>0</v>
      </c>
      <c r="AC73" s="40">
        <f t="shared" si="27"/>
        <v>0</v>
      </c>
      <c r="AD73" s="40">
        <f t="shared" si="28"/>
        <v>0</v>
      </c>
      <c r="AE73" s="40">
        <f t="shared" si="29"/>
        <v>0</v>
      </c>
      <c r="AF73" s="40">
        <f t="shared" si="30"/>
        <v>0</v>
      </c>
      <c r="AG73" s="40">
        <f t="shared" si="31"/>
        <v>0</v>
      </c>
      <c r="AH73" s="40">
        <f t="shared" si="32"/>
        <v>0</v>
      </c>
      <c r="AI73" s="31" t="s">
        <v>391</v>
      </c>
      <c r="AJ73" s="40">
        <f t="shared" si="33"/>
        <v>0</v>
      </c>
      <c r="AK73" s="40">
        <f t="shared" si="34"/>
        <v>0</v>
      </c>
      <c r="AL73" s="40">
        <f t="shared" si="35"/>
        <v>0</v>
      </c>
      <c r="AN73" s="40">
        <v>21</v>
      </c>
      <c r="AO73" s="40">
        <f>I73*0</f>
        <v>0</v>
      </c>
      <c r="AP73" s="40">
        <f>I73*(1-0)</f>
        <v>0</v>
      </c>
      <c r="AQ73" s="38" t="s">
        <v>550</v>
      </c>
      <c r="AV73" s="40">
        <f t="shared" si="36"/>
        <v>0</v>
      </c>
      <c r="AW73" s="40">
        <f t="shared" si="37"/>
        <v>0</v>
      </c>
      <c r="AX73" s="40">
        <f t="shared" si="38"/>
        <v>0</v>
      </c>
      <c r="AY73" s="38" t="s">
        <v>257</v>
      </c>
      <c r="AZ73" s="38" t="s">
        <v>38</v>
      </c>
      <c r="BA73" s="31" t="s">
        <v>427</v>
      </c>
      <c r="BC73" s="40">
        <f t="shared" si="39"/>
        <v>0</v>
      </c>
      <c r="BD73" s="40">
        <f t="shared" si="40"/>
        <v>0</v>
      </c>
      <c r="BE73" s="40">
        <v>0</v>
      </c>
      <c r="BF73" s="40">
        <f>73</f>
        <v>73</v>
      </c>
      <c r="BH73" s="40">
        <f t="shared" si="41"/>
        <v>0</v>
      </c>
      <c r="BI73" s="40">
        <f t="shared" si="42"/>
        <v>0</v>
      </c>
      <c r="BJ73" s="40">
        <f t="shared" si="43"/>
        <v>0</v>
      </c>
      <c r="BK73" s="40"/>
      <c r="BL73" s="40">
        <v>725</v>
      </c>
    </row>
    <row r="74" spans="1:64" ht="15" customHeight="1">
      <c r="A74" s="9" t="s">
        <v>205</v>
      </c>
      <c r="B74" s="33" t="s">
        <v>194</v>
      </c>
      <c r="C74" s="61" t="s">
        <v>518</v>
      </c>
      <c r="D74" s="61"/>
      <c r="E74" s="61"/>
      <c r="F74" s="61"/>
      <c r="G74" s="33" t="s">
        <v>202</v>
      </c>
      <c r="H74" s="40">
        <v>1</v>
      </c>
      <c r="I74" s="40">
        <v>0</v>
      </c>
      <c r="J74" s="40">
        <f t="shared" si="22"/>
        <v>0</v>
      </c>
      <c r="K74" s="40">
        <f t="shared" si="23"/>
        <v>0</v>
      </c>
      <c r="L74" s="40">
        <f t="shared" si="24"/>
        <v>0</v>
      </c>
      <c r="M74" s="19" t="s">
        <v>216</v>
      </c>
      <c r="Z74" s="40">
        <f t="shared" si="25"/>
        <v>0</v>
      </c>
      <c r="AB74" s="40">
        <f t="shared" si="26"/>
        <v>0</v>
      </c>
      <c r="AC74" s="40">
        <f t="shared" si="27"/>
        <v>0</v>
      </c>
      <c r="AD74" s="40">
        <f t="shared" si="28"/>
        <v>0</v>
      </c>
      <c r="AE74" s="40">
        <f t="shared" si="29"/>
        <v>0</v>
      </c>
      <c r="AF74" s="40">
        <f t="shared" si="30"/>
        <v>0</v>
      </c>
      <c r="AG74" s="40">
        <f t="shared" si="31"/>
        <v>0</v>
      </c>
      <c r="AH74" s="40">
        <f t="shared" si="32"/>
        <v>0</v>
      </c>
      <c r="AI74" s="31" t="s">
        <v>391</v>
      </c>
      <c r="AJ74" s="40">
        <f t="shared" si="33"/>
        <v>0</v>
      </c>
      <c r="AK74" s="40">
        <f t="shared" si="34"/>
        <v>0</v>
      </c>
      <c r="AL74" s="40">
        <f t="shared" si="35"/>
        <v>0</v>
      </c>
      <c r="AN74" s="40">
        <v>21</v>
      </c>
      <c r="AO74" s="40">
        <f>I74*0.325393450507379</f>
        <v>0</v>
      </c>
      <c r="AP74" s="40">
        <f>I74*(1-0.325393450507379)</f>
        <v>0</v>
      </c>
      <c r="AQ74" s="38" t="s">
        <v>550</v>
      </c>
      <c r="AV74" s="40">
        <f t="shared" si="36"/>
        <v>0</v>
      </c>
      <c r="AW74" s="40">
        <f t="shared" si="37"/>
        <v>0</v>
      </c>
      <c r="AX74" s="40">
        <f t="shared" si="38"/>
        <v>0</v>
      </c>
      <c r="AY74" s="38" t="s">
        <v>257</v>
      </c>
      <c r="AZ74" s="38" t="s">
        <v>38</v>
      </c>
      <c r="BA74" s="31" t="s">
        <v>427</v>
      </c>
      <c r="BC74" s="40">
        <f t="shared" si="39"/>
        <v>0</v>
      </c>
      <c r="BD74" s="40">
        <f t="shared" si="40"/>
        <v>0</v>
      </c>
      <c r="BE74" s="40">
        <v>0</v>
      </c>
      <c r="BF74" s="40">
        <f>74</f>
        <v>74</v>
      </c>
      <c r="BH74" s="40">
        <f t="shared" si="41"/>
        <v>0</v>
      </c>
      <c r="BI74" s="40">
        <f t="shared" si="42"/>
        <v>0</v>
      </c>
      <c r="BJ74" s="40">
        <f t="shared" si="43"/>
        <v>0</v>
      </c>
      <c r="BK74" s="40"/>
      <c r="BL74" s="40">
        <v>725</v>
      </c>
    </row>
    <row r="75" spans="1:64" ht="15" customHeight="1">
      <c r="A75" s="9" t="s">
        <v>544</v>
      </c>
      <c r="B75" s="33" t="s">
        <v>350</v>
      </c>
      <c r="C75" s="61" t="s">
        <v>189</v>
      </c>
      <c r="D75" s="61"/>
      <c r="E75" s="61"/>
      <c r="F75" s="61"/>
      <c r="G75" s="33" t="s">
        <v>202</v>
      </c>
      <c r="H75" s="40">
        <v>1</v>
      </c>
      <c r="I75" s="40">
        <v>0</v>
      </c>
      <c r="J75" s="40">
        <f t="shared" si="22"/>
        <v>0</v>
      </c>
      <c r="K75" s="40">
        <f t="shared" si="23"/>
        <v>0</v>
      </c>
      <c r="L75" s="40">
        <f t="shared" si="24"/>
        <v>0</v>
      </c>
      <c r="M75" s="19" t="s">
        <v>216</v>
      </c>
      <c r="Z75" s="40">
        <f t="shared" si="25"/>
        <v>0</v>
      </c>
      <c r="AB75" s="40">
        <f t="shared" si="26"/>
        <v>0</v>
      </c>
      <c r="AC75" s="40">
        <f t="shared" si="27"/>
        <v>0</v>
      </c>
      <c r="AD75" s="40">
        <f t="shared" si="28"/>
        <v>0</v>
      </c>
      <c r="AE75" s="40">
        <f t="shared" si="29"/>
        <v>0</v>
      </c>
      <c r="AF75" s="40">
        <f t="shared" si="30"/>
        <v>0</v>
      </c>
      <c r="AG75" s="40">
        <f t="shared" si="31"/>
        <v>0</v>
      </c>
      <c r="AH75" s="40">
        <f t="shared" si="32"/>
        <v>0</v>
      </c>
      <c r="AI75" s="31" t="s">
        <v>391</v>
      </c>
      <c r="AJ75" s="40">
        <f t="shared" si="33"/>
        <v>0</v>
      </c>
      <c r="AK75" s="40">
        <f t="shared" si="34"/>
        <v>0</v>
      </c>
      <c r="AL75" s="40">
        <f t="shared" si="35"/>
        <v>0</v>
      </c>
      <c r="AN75" s="40">
        <v>21</v>
      </c>
      <c r="AO75" s="40">
        <f>I75*0.825932914046122</f>
        <v>0</v>
      </c>
      <c r="AP75" s="40">
        <f>I75*(1-0.825932914046122)</f>
        <v>0</v>
      </c>
      <c r="AQ75" s="38" t="s">
        <v>550</v>
      </c>
      <c r="AV75" s="40">
        <f t="shared" si="36"/>
        <v>0</v>
      </c>
      <c r="AW75" s="40">
        <f t="shared" si="37"/>
        <v>0</v>
      </c>
      <c r="AX75" s="40">
        <f t="shared" si="38"/>
        <v>0</v>
      </c>
      <c r="AY75" s="38" t="s">
        <v>257</v>
      </c>
      <c r="AZ75" s="38" t="s">
        <v>38</v>
      </c>
      <c r="BA75" s="31" t="s">
        <v>427</v>
      </c>
      <c r="BC75" s="40">
        <f t="shared" si="39"/>
        <v>0</v>
      </c>
      <c r="BD75" s="40">
        <f t="shared" si="40"/>
        <v>0</v>
      </c>
      <c r="BE75" s="40">
        <v>0</v>
      </c>
      <c r="BF75" s="40">
        <f>75</f>
        <v>75</v>
      </c>
      <c r="BH75" s="40">
        <f t="shared" si="41"/>
        <v>0</v>
      </c>
      <c r="BI75" s="40">
        <f t="shared" si="42"/>
        <v>0</v>
      </c>
      <c r="BJ75" s="40">
        <f t="shared" si="43"/>
        <v>0</v>
      </c>
      <c r="BK75" s="40"/>
      <c r="BL75" s="40">
        <v>725</v>
      </c>
    </row>
    <row r="76" spans="1:64" ht="15" customHeight="1">
      <c r="A76" s="9" t="s">
        <v>117</v>
      </c>
      <c r="B76" s="33" t="s">
        <v>486</v>
      </c>
      <c r="C76" s="61" t="s">
        <v>463</v>
      </c>
      <c r="D76" s="61"/>
      <c r="E76" s="61"/>
      <c r="F76" s="61"/>
      <c r="G76" s="33" t="s">
        <v>202</v>
      </c>
      <c r="H76" s="40">
        <v>1</v>
      </c>
      <c r="I76" s="40">
        <v>0</v>
      </c>
      <c r="J76" s="40">
        <f t="shared" si="22"/>
        <v>0</v>
      </c>
      <c r="K76" s="40">
        <f t="shared" si="23"/>
        <v>0</v>
      </c>
      <c r="L76" s="40">
        <f t="shared" si="24"/>
        <v>0</v>
      </c>
      <c r="M76" s="19" t="s">
        <v>216</v>
      </c>
      <c r="Z76" s="40">
        <f t="shared" si="25"/>
        <v>0</v>
      </c>
      <c r="AB76" s="40">
        <f t="shared" si="26"/>
        <v>0</v>
      </c>
      <c r="AC76" s="40">
        <f t="shared" si="27"/>
        <v>0</v>
      </c>
      <c r="AD76" s="40">
        <f t="shared" si="28"/>
        <v>0</v>
      </c>
      <c r="AE76" s="40">
        <f t="shared" si="29"/>
        <v>0</v>
      </c>
      <c r="AF76" s="40">
        <f t="shared" si="30"/>
        <v>0</v>
      </c>
      <c r="AG76" s="40">
        <f t="shared" si="31"/>
        <v>0</v>
      </c>
      <c r="AH76" s="40">
        <f t="shared" si="32"/>
        <v>0</v>
      </c>
      <c r="AI76" s="31" t="s">
        <v>391</v>
      </c>
      <c r="AJ76" s="40">
        <f t="shared" si="33"/>
        <v>0</v>
      </c>
      <c r="AK76" s="40">
        <f t="shared" si="34"/>
        <v>0</v>
      </c>
      <c r="AL76" s="40">
        <f t="shared" si="35"/>
        <v>0</v>
      </c>
      <c r="AN76" s="40">
        <v>21</v>
      </c>
      <c r="AO76" s="40">
        <f>I76*0.931409088499914</f>
        <v>0</v>
      </c>
      <c r="AP76" s="40">
        <f>I76*(1-0.931409088499914)</f>
        <v>0</v>
      </c>
      <c r="AQ76" s="38" t="s">
        <v>550</v>
      </c>
      <c r="AV76" s="40">
        <f t="shared" si="36"/>
        <v>0</v>
      </c>
      <c r="AW76" s="40">
        <f t="shared" si="37"/>
        <v>0</v>
      </c>
      <c r="AX76" s="40">
        <f t="shared" si="38"/>
        <v>0</v>
      </c>
      <c r="AY76" s="38" t="s">
        <v>257</v>
      </c>
      <c r="AZ76" s="38" t="s">
        <v>38</v>
      </c>
      <c r="BA76" s="31" t="s">
        <v>427</v>
      </c>
      <c r="BC76" s="40">
        <f t="shared" si="39"/>
        <v>0</v>
      </c>
      <c r="BD76" s="40">
        <f t="shared" si="40"/>
        <v>0</v>
      </c>
      <c r="BE76" s="40">
        <v>0</v>
      </c>
      <c r="BF76" s="40">
        <f>76</f>
        <v>76</v>
      </c>
      <c r="BH76" s="40">
        <f t="shared" si="41"/>
        <v>0</v>
      </c>
      <c r="BI76" s="40">
        <f t="shared" si="42"/>
        <v>0</v>
      </c>
      <c r="BJ76" s="40">
        <f t="shared" si="43"/>
        <v>0</v>
      </c>
      <c r="BK76" s="40"/>
      <c r="BL76" s="40">
        <v>725</v>
      </c>
    </row>
    <row r="77" spans="1:64" ht="15" customHeight="1">
      <c r="A77" s="9" t="s">
        <v>193</v>
      </c>
      <c r="B77" s="33" t="s">
        <v>260</v>
      </c>
      <c r="C77" s="61" t="s">
        <v>49</v>
      </c>
      <c r="D77" s="61"/>
      <c r="E77" s="61"/>
      <c r="F77" s="61"/>
      <c r="G77" s="33" t="s">
        <v>154</v>
      </c>
      <c r="H77" s="40">
        <v>1</v>
      </c>
      <c r="I77" s="40">
        <v>0</v>
      </c>
      <c r="J77" s="40">
        <f t="shared" si="22"/>
        <v>0</v>
      </c>
      <c r="K77" s="40">
        <f t="shared" si="23"/>
        <v>0</v>
      </c>
      <c r="L77" s="40">
        <f t="shared" si="24"/>
        <v>0</v>
      </c>
      <c r="M77" s="19" t="s">
        <v>216</v>
      </c>
      <c r="Z77" s="40">
        <f t="shared" si="25"/>
        <v>0</v>
      </c>
      <c r="AB77" s="40">
        <f t="shared" si="26"/>
        <v>0</v>
      </c>
      <c r="AC77" s="40">
        <f t="shared" si="27"/>
        <v>0</v>
      </c>
      <c r="AD77" s="40">
        <f t="shared" si="28"/>
        <v>0</v>
      </c>
      <c r="AE77" s="40">
        <f t="shared" si="29"/>
        <v>0</v>
      </c>
      <c r="AF77" s="40">
        <f t="shared" si="30"/>
        <v>0</v>
      </c>
      <c r="AG77" s="40">
        <f t="shared" si="31"/>
        <v>0</v>
      </c>
      <c r="AH77" s="40">
        <f t="shared" si="32"/>
        <v>0</v>
      </c>
      <c r="AI77" s="31" t="s">
        <v>391</v>
      </c>
      <c r="AJ77" s="40">
        <f t="shared" si="33"/>
        <v>0</v>
      </c>
      <c r="AK77" s="40">
        <f t="shared" si="34"/>
        <v>0</v>
      </c>
      <c r="AL77" s="40">
        <f t="shared" si="35"/>
        <v>0</v>
      </c>
      <c r="AN77" s="40">
        <v>21</v>
      </c>
      <c r="AO77" s="40">
        <f>I77*1</f>
        <v>0</v>
      </c>
      <c r="AP77" s="40">
        <f>I77*(1-1)</f>
        <v>0</v>
      </c>
      <c r="AQ77" s="38" t="s">
        <v>550</v>
      </c>
      <c r="AV77" s="40">
        <f t="shared" si="36"/>
        <v>0</v>
      </c>
      <c r="AW77" s="40">
        <f t="shared" si="37"/>
        <v>0</v>
      </c>
      <c r="AX77" s="40">
        <f t="shared" si="38"/>
        <v>0</v>
      </c>
      <c r="AY77" s="38" t="s">
        <v>257</v>
      </c>
      <c r="AZ77" s="38" t="s">
        <v>38</v>
      </c>
      <c r="BA77" s="31" t="s">
        <v>427</v>
      </c>
      <c r="BC77" s="40">
        <f t="shared" si="39"/>
        <v>0</v>
      </c>
      <c r="BD77" s="40">
        <f t="shared" si="40"/>
        <v>0</v>
      </c>
      <c r="BE77" s="40">
        <v>0</v>
      </c>
      <c r="BF77" s="40">
        <f>77</f>
        <v>77</v>
      </c>
      <c r="BH77" s="40">
        <f t="shared" si="41"/>
        <v>0</v>
      </c>
      <c r="BI77" s="40">
        <f t="shared" si="42"/>
        <v>0</v>
      </c>
      <c r="BJ77" s="40">
        <f t="shared" si="43"/>
        <v>0</v>
      </c>
      <c r="BK77" s="40"/>
      <c r="BL77" s="40">
        <v>725</v>
      </c>
    </row>
    <row r="78" spans="1:64" ht="15" customHeight="1">
      <c r="A78" s="9" t="s">
        <v>250</v>
      </c>
      <c r="B78" s="33" t="s">
        <v>603</v>
      </c>
      <c r="C78" s="61" t="s">
        <v>496</v>
      </c>
      <c r="D78" s="61"/>
      <c r="E78" s="61"/>
      <c r="F78" s="61"/>
      <c r="G78" s="33" t="s">
        <v>202</v>
      </c>
      <c r="H78" s="40">
        <v>1</v>
      </c>
      <c r="I78" s="40">
        <v>0</v>
      </c>
      <c r="J78" s="40">
        <f t="shared" si="22"/>
        <v>0</v>
      </c>
      <c r="K78" s="40">
        <f t="shared" si="23"/>
        <v>0</v>
      </c>
      <c r="L78" s="40">
        <f t="shared" si="24"/>
        <v>0</v>
      </c>
      <c r="M78" s="19" t="s">
        <v>216</v>
      </c>
      <c r="Z78" s="40">
        <f t="shared" si="25"/>
        <v>0</v>
      </c>
      <c r="AB78" s="40">
        <f t="shared" si="26"/>
        <v>0</v>
      </c>
      <c r="AC78" s="40">
        <f t="shared" si="27"/>
        <v>0</v>
      </c>
      <c r="AD78" s="40">
        <f t="shared" si="28"/>
        <v>0</v>
      </c>
      <c r="AE78" s="40">
        <f t="shared" si="29"/>
        <v>0</v>
      </c>
      <c r="AF78" s="40">
        <f t="shared" si="30"/>
        <v>0</v>
      </c>
      <c r="AG78" s="40">
        <f t="shared" si="31"/>
        <v>0</v>
      </c>
      <c r="AH78" s="40">
        <f t="shared" si="32"/>
        <v>0</v>
      </c>
      <c r="AI78" s="31" t="s">
        <v>391</v>
      </c>
      <c r="AJ78" s="40">
        <f t="shared" si="33"/>
        <v>0</v>
      </c>
      <c r="AK78" s="40">
        <f t="shared" si="34"/>
        <v>0</v>
      </c>
      <c r="AL78" s="40">
        <f t="shared" si="35"/>
        <v>0</v>
      </c>
      <c r="AN78" s="40">
        <v>21</v>
      </c>
      <c r="AO78" s="40">
        <f>I78*0.659763299288446</f>
        <v>0</v>
      </c>
      <c r="AP78" s="40">
        <f>I78*(1-0.659763299288446)</f>
        <v>0</v>
      </c>
      <c r="AQ78" s="38" t="s">
        <v>550</v>
      </c>
      <c r="AV78" s="40">
        <f t="shared" si="36"/>
        <v>0</v>
      </c>
      <c r="AW78" s="40">
        <f t="shared" si="37"/>
        <v>0</v>
      </c>
      <c r="AX78" s="40">
        <f t="shared" si="38"/>
        <v>0</v>
      </c>
      <c r="AY78" s="38" t="s">
        <v>257</v>
      </c>
      <c r="AZ78" s="38" t="s">
        <v>38</v>
      </c>
      <c r="BA78" s="31" t="s">
        <v>427</v>
      </c>
      <c r="BC78" s="40">
        <f t="shared" si="39"/>
        <v>0</v>
      </c>
      <c r="BD78" s="40">
        <f t="shared" si="40"/>
        <v>0</v>
      </c>
      <c r="BE78" s="40">
        <v>0</v>
      </c>
      <c r="BF78" s="40">
        <f>78</f>
        <v>78</v>
      </c>
      <c r="BH78" s="40">
        <f t="shared" si="41"/>
        <v>0</v>
      </c>
      <c r="BI78" s="40">
        <f t="shared" si="42"/>
        <v>0</v>
      </c>
      <c r="BJ78" s="40">
        <f t="shared" si="43"/>
        <v>0</v>
      </c>
      <c r="BK78" s="40"/>
      <c r="BL78" s="40">
        <v>725</v>
      </c>
    </row>
    <row r="79" spans="1:64" ht="15" customHeight="1">
      <c r="A79" s="9" t="s">
        <v>204</v>
      </c>
      <c r="B79" s="33" t="s">
        <v>588</v>
      </c>
      <c r="C79" s="61" t="s">
        <v>165</v>
      </c>
      <c r="D79" s="61"/>
      <c r="E79" s="61"/>
      <c r="F79" s="61"/>
      <c r="G79" s="33" t="s">
        <v>202</v>
      </c>
      <c r="H79" s="40">
        <v>3</v>
      </c>
      <c r="I79" s="40">
        <v>0</v>
      </c>
      <c r="J79" s="40">
        <f t="shared" si="22"/>
        <v>0</v>
      </c>
      <c r="K79" s="40">
        <f t="shared" si="23"/>
        <v>0</v>
      </c>
      <c r="L79" s="40">
        <f t="shared" si="24"/>
        <v>0</v>
      </c>
      <c r="M79" s="19" t="s">
        <v>216</v>
      </c>
      <c r="Z79" s="40">
        <f t="shared" si="25"/>
        <v>0</v>
      </c>
      <c r="AB79" s="40">
        <f t="shared" si="26"/>
        <v>0</v>
      </c>
      <c r="AC79" s="40">
        <f t="shared" si="27"/>
        <v>0</v>
      </c>
      <c r="AD79" s="40">
        <f t="shared" si="28"/>
        <v>0</v>
      </c>
      <c r="AE79" s="40">
        <f t="shared" si="29"/>
        <v>0</v>
      </c>
      <c r="AF79" s="40">
        <f t="shared" si="30"/>
        <v>0</v>
      </c>
      <c r="AG79" s="40">
        <f t="shared" si="31"/>
        <v>0</v>
      </c>
      <c r="AH79" s="40">
        <f t="shared" si="32"/>
        <v>0</v>
      </c>
      <c r="AI79" s="31" t="s">
        <v>391</v>
      </c>
      <c r="AJ79" s="40">
        <f t="shared" si="33"/>
        <v>0</v>
      </c>
      <c r="AK79" s="40">
        <f t="shared" si="34"/>
        <v>0</v>
      </c>
      <c r="AL79" s="40">
        <f t="shared" si="35"/>
        <v>0</v>
      </c>
      <c r="AN79" s="40">
        <v>21</v>
      </c>
      <c r="AO79" s="40">
        <f>I79*0.523036437246964</f>
        <v>0</v>
      </c>
      <c r="AP79" s="40">
        <f>I79*(1-0.523036437246964)</f>
        <v>0</v>
      </c>
      <c r="AQ79" s="38" t="s">
        <v>550</v>
      </c>
      <c r="AV79" s="40">
        <f t="shared" si="36"/>
        <v>0</v>
      </c>
      <c r="AW79" s="40">
        <f t="shared" si="37"/>
        <v>0</v>
      </c>
      <c r="AX79" s="40">
        <f t="shared" si="38"/>
        <v>0</v>
      </c>
      <c r="AY79" s="38" t="s">
        <v>257</v>
      </c>
      <c r="AZ79" s="38" t="s">
        <v>38</v>
      </c>
      <c r="BA79" s="31" t="s">
        <v>427</v>
      </c>
      <c r="BC79" s="40">
        <f t="shared" si="39"/>
        <v>0</v>
      </c>
      <c r="BD79" s="40">
        <f t="shared" si="40"/>
        <v>0</v>
      </c>
      <c r="BE79" s="40">
        <v>0</v>
      </c>
      <c r="BF79" s="40">
        <f>79</f>
        <v>79</v>
      </c>
      <c r="BH79" s="40">
        <f t="shared" si="41"/>
        <v>0</v>
      </c>
      <c r="BI79" s="40">
        <f t="shared" si="42"/>
        <v>0</v>
      </c>
      <c r="BJ79" s="40">
        <f t="shared" si="43"/>
        <v>0</v>
      </c>
      <c r="BK79" s="40"/>
      <c r="BL79" s="40">
        <v>725</v>
      </c>
    </row>
    <row r="80" spans="1:64" ht="15" customHeight="1">
      <c r="A80" s="9" t="s">
        <v>454</v>
      </c>
      <c r="B80" s="33" t="s">
        <v>91</v>
      </c>
      <c r="C80" s="61" t="s">
        <v>106</v>
      </c>
      <c r="D80" s="61"/>
      <c r="E80" s="61"/>
      <c r="F80" s="61"/>
      <c r="G80" s="33" t="s">
        <v>154</v>
      </c>
      <c r="H80" s="40">
        <v>1</v>
      </c>
      <c r="I80" s="40">
        <v>0</v>
      </c>
      <c r="J80" s="40">
        <f t="shared" si="22"/>
        <v>0</v>
      </c>
      <c r="K80" s="40">
        <f t="shared" si="23"/>
        <v>0</v>
      </c>
      <c r="L80" s="40">
        <f t="shared" si="24"/>
        <v>0</v>
      </c>
      <c r="M80" s="19" t="s">
        <v>216</v>
      </c>
      <c r="Z80" s="40">
        <f t="shared" si="25"/>
        <v>0</v>
      </c>
      <c r="AB80" s="40">
        <f t="shared" si="26"/>
        <v>0</v>
      </c>
      <c r="AC80" s="40">
        <f t="shared" si="27"/>
        <v>0</v>
      </c>
      <c r="AD80" s="40">
        <f t="shared" si="28"/>
        <v>0</v>
      </c>
      <c r="AE80" s="40">
        <f t="shared" si="29"/>
        <v>0</v>
      </c>
      <c r="AF80" s="40">
        <f t="shared" si="30"/>
        <v>0</v>
      </c>
      <c r="AG80" s="40">
        <f t="shared" si="31"/>
        <v>0</v>
      </c>
      <c r="AH80" s="40">
        <f t="shared" si="32"/>
        <v>0</v>
      </c>
      <c r="AI80" s="31" t="s">
        <v>391</v>
      </c>
      <c r="AJ80" s="40">
        <f t="shared" si="33"/>
        <v>0</v>
      </c>
      <c r="AK80" s="40">
        <f t="shared" si="34"/>
        <v>0</v>
      </c>
      <c r="AL80" s="40">
        <f t="shared" si="35"/>
        <v>0</v>
      </c>
      <c r="AN80" s="40">
        <v>21</v>
      </c>
      <c r="AO80" s="40">
        <f>I80*0.76907</f>
        <v>0</v>
      </c>
      <c r="AP80" s="40">
        <f>I80*(1-0.76907)</f>
        <v>0</v>
      </c>
      <c r="AQ80" s="38" t="s">
        <v>550</v>
      </c>
      <c r="AV80" s="40">
        <f t="shared" si="36"/>
        <v>0</v>
      </c>
      <c r="AW80" s="40">
        <f t="shared" si="37"/>
        <v>0</v>
      </c>
      <c r="AX80" s="40">
        <f t="shared" si="38"/>
        <v>0</v>
      </c>
      <c r="AY80" s="38" t="s">
        <v>257</v>
      </c>
      <c r="AZ80" s="38" t="s">
        <v>38</v>
      </c>
      <c r="BA80" s="31" t="s">
        <v>427</v>
      </c>
      <c r="BC80" s="40">
        <f t="shared" si="39"/>
        <v>0</v>
      </c>
      <c r="BD80" s="40">
        <f t="shared" si="40"/>
        <v>0</v>
      </c>
      <c r="BE80" s="40">
        <v>0</v>
      </c>
      <c r="BF80" s="40">
        <f>80</f>
        <v>80</v>
      </c>
      <c r="BH80" s="40">
        <f t="shared" si="41"/>
        <v>0</v>
      </c>
      <c r="BI80" s="40">
        <f t="shared" si="42"/>
        <v>0</v>
      </c>
      <c r="BJ80" s="40">
        <f t="shared" si="43"/>
        <v>0</v>
      </c>
      <c r="BK80" s="40"/>
      <c r="BL80" s="40">
        <v>725</v>
      </c>
    </row>
    <row r="81" spans="1:64" ht="15" customHeight="1">
      <c r="A81" s="9" t="s">
        <v>568</v>
      </c>
      <c r="B81" s="33" t="s">
        <v>613</v>
      </c>
      <c r="C81" s="61" t="s">
        <v>447</v>
      </c>
      <c r="D81" s="61"/>
      <c r="E81" s="61"/>
      <c r="F81" s="61"/>
      <c r="G81" s="33" t="s">
        <v>154</v>
      </c>
      <c r="H81" s="40">
        <v>1</v>
      </c>
      <c r="I81" s="40">
        <v>0</v>
      </c>
      <c r="J81" s="40">
        <f t="shared" si="22"/>
        <v>0</v>
      </c>
      <c r="K81" s="40">
        <f t="shared" si="23"/>
        <v>0</v>
      </c>
      <c r="L81" s="40">
        <f t="shared" si="24"/>
        <v>0</v>
      </c>
      <c r="M81" s="19" t="s">
        <v>216</v>
      </c>
      <c r="Z81" s="40">
        <f t="shared" si="25"/>
        <v>0</v>
      </c>
      <c r="AB81" s="40">
        <f t="shared" si="26"/>
        <v>0</v>
      </c>
      <c r="AC81" s="40">
        <f t="shared" si="27"/>
        <v>0</v>
      </c>
      <c r="AD81" s="40">
        <f t="shared" si="28"/>
        <v>0</v>
      </c>
      <c r="AE81" s="40">
        <f t="shared" si="29"/>
        <v>0</v>
      </c>
      <c r="AF81" s="40">
        <f t="shared" si="30"/>
        <v>0</v>
      </c>
      <c r="AG81" s="40">
        <f t="shared" si="31"/>
        <v>0</v>
      </c>
      <c r="AH81" s="40">
        <f t="shared" si="32"/>
        <v>0</v>
      </c>
      <c r="AI81" s="31" t="s">
        <v>391</v>
      </c>
      <c r="AJ81" s="40">
        <f t="shared" si="33"/>
        <v>0</v>
      </c>
      <c r="AK81" s="40">
        <f t="shared" si="34"/>
        <v>0</v>
      </c>
      <c r="AL81" s="40">
        <f t="shared" si="35"/>
        <v>0</v>
      </c>
      <c r="AN81" s="40">
        <v>21</v>
      </c>
      <c r="AO81" s="40">
        <f>I81*0.852484261501211</f>
        <v>0</v>
      </c>
      <c r="AP81" s="40">
        <f>I81*(1-0.852484261501211)</f>
        <v>0</v>
      </c>
      <c r="AQ81" s="38" t="s">
        <v>550</v>
      </c>
      <c r="AV81" s="40">
        <f t="shared" si="36"/>
        <v>0</v>
      </c>
      <c r="AW81" s="40">
        <f t="shared" si="37"/>
        <v>0</v>
      </c>
      <c r="AX81" s="40">
        <f t="shared" si="38"/>
        <v>0</v>
      </c>
      <c r="AY81" s="38" t="s">
        <v>257</v>
      </c>
      <c r="AZ81" s="38" t="s">
        <v>38</v>
      </c>
      <c r="BA81" s="31" t="s">
        <v>427</v>
      </c>
      <c r="BC81" s="40">
        <f t="shared" si="39"/>
        <v>0</v>
      </c>
      <c r="BD81" s="40">
        <f t="shared" si="40"/>
        <v>0</v>
      </c>
      <c r="BE81" s="40">
        <v>0</v>
      </c>
      <c r="BF81" s="40">
        <f>81</f>
        <v>81</v>
      </c>
      <c r="BH81" s="40">
        <f t="shared" si="41"/>
        <v>0</v>
      </c>
      <c r="BI81" s="40">
        <f t="shared" si="42"/>
        <v>0</v>
      </c>
      <c r="BJ81" s="40">
        <f t="shared" si="43"/>
        <v>0</v>
      </c>
      <c r="BK81" s="40"/>
      <c r="BL81" s="40">
        <v>725</v>
      </c>
    </row>
    <row r="82" spans="1:64" ht="15" customHeight="1">
      <c r="A82" s="9" t="s">
        <v>46</v>
      </c>
      <c r="B82" s="33" t="s">
        <v>521</v>
      </c>
      <c r="C82" s="61" t="s">
        <v>109</v>
      </c>
      <c r="D82" s="61"/>
      <c r="E82" s="61"/>
      <c r="F82" s="61"/>
      <c r="G82" s="33" t="s">
        <v>202</v>
      </c>
      <c r="H82" s="40">
        <v>1</v>
      </c>
      <c r="I82" s="40">
        <v>0</v>
      </c>
      <c r="J82" s="40">
        <f t="shared" si="22"/>
        <v>0</v>
      </c>
      <c r="K82" s="40">
        <f t="shared" si="23"/>
        <v>0</v>
      </c>
      <c r="L82" s="40">
        <f t="shared" si="24"/>
        <v>0</v>
      </c>
      <c r="M82" s="19" t="s">
        <v>391</v>
      </c>
      <c r="Z82" s="40">
        <f t="shared" si="25"/>
        <v>0</v>
      </c>
      <c r="AB82" s="40">
        <f t="shared" si="26"/>
        <v>0</v>
      </c>
      <c r="AC82" s="40">
        <f t="shared" si="27"/>
        <v>0</v>
      </c>
      <c r="AD82" s="40">
        <f t="shared" si="28"/>
        <v>0</v>
      </c>
      <c r="AE82" s="40">
        <f t="shared" si="29"/>
        <v>0</v>
      </c>
      <c r="AF82" s="40">
        <f t="shared" si="30"/>
        <v>0</v>
      </c>
      <c r="AG82" s="40">
        <f t="shared" si="31"/>
        <v>0</v>
      </c>
      <c r="AH82" s="40">
        <f t="shared" si="32"/>
        <v>0</v>
      </c>
      <c r="AI82" s="31" t="s">
        <v>391</v>
      </c>
      <c r="AJ82" s="40">
        <f t="shared" si="33"/>
        <v>0</v>
      </c>
      <c r="AK82" s="40">
        <f t="shared" si="34"/>
        <v>0</v>
      </c>
      <c r="AL82" s="40">
        <f t="shared" si="35"/>
        <v>0</v>
      </c>
      <c r="AN82" s="40">
        <v>21</v>
      </c>
      <c r="AO82" s="40">
        <f>I82*1</f>
        <v>0</v>
      </c>
      <c r="AP82" s="40">
        <f>I82*(1-1)</f>
        <v>0</v>
      </c>
      <c r="AQ82" s="38" t="s">
        <v>550</v>
      </c>
      <c r="AV82" s="40">
        <f t="shared" si="36"/>
        <v>0</v>
      </c>
      <c r="AW82" s="40">
        <f t="shared" si="37"/>
        <v>0</v>
      </c>
      <c r="AX82" s="40">
        <f t="shared" si="38"/>
        <v>0</v>
      </c>
      <c r="AY82" s="38" t="s">
        <v>257</v>
      </c>
      <c r="AZ82" s="38" t="s">
        <v>38</v>
      </c>
      <c r="BA82" s="31" t="s">
        <v>427</v>
      </c>
      <c r="BC82" s="40">
        <f t="shared" si="39"/>
        <v>0</v>
      </c>
      <c r="BD82" s="40">
        <f t="shared" si="40"/>
        <v>0</v>
      </c>
      <c r="BE82" s="40">
        <v>0</v>
      </c>
      <c r="BF82" s="40">
        <f>82</f>
        <v>82</v>
      </c>
      <c r="BH82" s="40">
        <f t="shared" si="41"/>
        <v>0</v>
      </c>
      <c r="BI82" s="40">
        <f t="shared" si="42"/>
        <v>0</v>
      </c>
      <c r="BJ82" s="40">
        <f t="shared" si="43"/>
        <v>0</v>
      </c>
      <c r="BK82" s="40"/>
      <c r="BL82" s="40">
        <v>725</v>
      </c>
    </row>
    <row r="83" spans="1:64" ht="15" customHeight="1">
      <c r="A83" s="9" t="s">
        <v>433</v>
      </c>
      <c r="B83" s="33" t="s">
        <v>41</v>
      </c>
      <c r="C83" s="61" t="s">
        <v>411</v>
      </c>
      <c r="D83" s="61"/>
      <c r="E83" s="61"/>
      <c r="F83" s="61"/>
      <c r="G83" s="33" t="s">
        <v>202</v>
      </c>
      <c r="H83" s="40">
        <v>1</v>
      </c>
      <c r="I83" s="40">
        <v>0</v>
      </c>
      <c r="J83" s="40">
        <f t="shared" si="22"/>
        <v>0</v>
      </c>
      <c r="K83" s="40">
        <f t="shared" si="23"/>
        <v>0</v>
      </c>
      <c r="L83" s="40">
        <f t="shared" si="24"/>
        <v>0</v>
      </c>
      <c r="M83" s="19" t="s">
        <v>216</v>
      </c>
      <c r="Z83" s="40">
        <f t="shared" si="25"/>
        <v>0</v>
      </c>
      <c r="AB83" s="40">
        <f t="shared" si="26"/>
        <v>0</v>
      </c>
      <c r="AC83" s="40">
        <f t="shared" si="27"/>
        <v>0</v>
      </c>
      <c r="AD83" s="40">
        <f t="shared" si="28"/>
        <v>0</v>
      </c>
      <c r="AE83" s="40">
        <f t="shared" si="29"/>
        <v>0</v>
      </c>
      <c r="AF83" s="40">
        <f t="shared" si="30"/>
        <v>0</v>
      </c>
      <c r="AG83" s="40">
        <f t="shared" si="31"/>
        <v>0</v>
      </c>
      <c r="AH83" s="40">
        <f t="shared" si="32"/>
        <v>0</v>
      </c>
      <c r="AI83" s="31" t="s">
        <v>391</v>
      </c>
      <c r="AJ83" s="40">
        <f t="shared" si="33"/>
        <v>0</v>
      </c>
      <c r="AK83" s="40">
        <f t="shared" si="34"/>
        <v>0</v>
      </c>
      <c r="AL83" s="40">
        <f t="shared" si="35"/>
        <v>0</v>
      </c>
      <c r="AN83" s="40">
        <v>21</v>
      </c>
      <c r="AO83" s="40">
        <f>I83*0</f>
        <v>0</v>
      </c>
      <c r="AP83" s="40">
        <f>I83*(1-0)</f>
        <v>0</v>
      </c>
      <c r="AQ83" s="38" t="s">
        <v>550</v>
      </c>
      <c r="AV83" s="40">
        <f t="shared" si="36"/>
        <v>0</v>
      </c>
      <c r="AW83" s="40">
        <f t="shared" si="37"/>
        <v>0</v>
      </c>
      <c r="AX83" s="40">
        <f t="shared" si="38"/>
        <v>0</v>
      </c>
      <c r="AY83" s="38" t="s">
        <v>257</v>
      </c>
      <c r="AZ83" s="38" t="s">
        <v>38</v>
      </c>
      <c r="BA83" s="31" t="s">
        <v>427</v>
      </c>
      <c r="BC83" s="40">
        <f t="shared" si="39"/>
        <v>0</v>
      </c>
      <c r="BD83" s="40">
        <f t="shared" si="40"/>
        <v>0</v>
      </c>
      <c r="BE83" s="40">
        <v>0</v>
      </c>
      <c r="BF83" s="40">
        <f>83</f>
        <v>83</v>
      </c>
      <c r="BH83" s="40">
        <f t="shared" si="41"/>
        <v>0</v>
      </c>
      <c r="BI83" s="40">
        <f t="shared" si="42"/>
        <v>0</v>
      </c>
      <c r="BJ83" s="40">
        <f t="shared" si="43"/>
        <v>0</v>
      </c>
      <c r="BK83" s="40"/>
      <c r="BL83" s="40">
        <v>725</v>
      </c>
    </row>
    <row r="84" spans="1:64" ht="15" customHeight="1">
      <c r="A84" s="9" t="s">
        <v>467</v>
      </c>
      <c r="B84" s="33" t="s">
        <v>196</v>
      </c>
      <c r="C84" s="61" t="s">
        <v>77</v>
      </c>
      <c r="D84" s="61"/>
      <c r="E84" s="61"/>
      <c r="F84" s="61"/>
      <c r="G84" s="33" t="s">
        <v>154</v>
      </c>
      <c r="H84" s="40">
        <v>1</v>
      </c>
      <c r="I84" s="40">
        <v>0</v>
      </c>
      <c r="J84" s="40">
        <f t="shared" si="22"/>
        <v>0</v>
      </c>
      <c r="K84" s="40">
        <f t="shared" si="23"/>
        <v>0</v>
      </c>
      <c r="L84" s="40">
        <f t="shared" si="24"/>
        <v>0</v>
      </c>
      <c r="M84" s="19" t="s">
        <v>216</v>
      </c>
      <c r="Z84" s="40">
        <f t="shared" si="25"/>
        <v>0</v>
      </c>
      <c r="AB84" s="40">
        <f t="shared" si="26"/>
        <v>0</v>
      </c>
      <c r="AC84" s="40">
        <f t="shared" si="27"/>
        <v>0</v>
      </c>
      <c r="AD84" s="40">
        <f t="shared" si="28"/>
        <v>0</v>
      </c>
      <c r="AE84" s="40">
        <f t="shared" si="29"/>
        <v>0</v>
      </c>
      <c r="AF84" s="40">
        <f t="shared" si="30"/>
        <v>0</v>
      </c>
      <c r="AG84" s="40">
        <f t="shared" si="31"/>
        <v>0</v>
      </c>
      <c r="AH84" s="40">
        <f t="shared" si="32"/>
        <v>0</v>
      </c>
      <c r="AI84" s="31" t="s">
        <v>391</v>
      </c>
      <c r="AJ84" s="40">
        <f t="shared" si="33"/>
        <v>0</v>
      </c>
      <c r="AK84" s="40">
        <f t="shared" si="34"/>
        <v>0</v>
      </c>
      <c r="AL84" s="40">
        <f t="shared" si="35"/>
        <v>0</v>
      </c>
      <c r="AN84" s="40">
        <v>21</v>
      </c>
      <c r="AO84" s="40">
        <f>I84*0.372453662842012</f>
        <v>0</v>
      </c>
      <c r="AP84" s="40">
        <f>I84*(1-0.372453662842012)</f>
        <v>0</v>
      </c>
      <c r="AQ84" s="38" t="s">
        <v>550</v>
      </c>
      <c r="AV84" s="40">
        <f t="shared" si="36"/>
        <v>0</v>
      </c>
      <c r="AW84" s="40">
        <f t="shared" si="37"/>
        <v>0</v>
      </c>
      <c r="AX84" s="40">
        <f t="shared" si="38"/>
        <v>0</v>
      </c>
      <c r="AY84" s="38" t="s">
        <v>257</v>
      </c>
      <c r="AZ84" s="38" t="s">
        <v>38</v>
      </c>
      <c r="BA84" s="31" t="s">
        <v>427</v>
      </c>
      <c r="BC84" s="40">
        <f t="shared" si="39"/>
        <v>0</v>
      </c>
      <c r="BD84" s="40">
        <f t="shared" si="40"/>
        <v>0</v>
      </c>
      <c r="BE84" s="40">
        <v>0</v>
      </c>
      <c r="BF84" s="40">
        <f>84</f>
        <v>84</v>
      </c>
      <c r="BH84" s="40">
        <f t="shared" si="41"/>
        <v>0</v>
      </c>
      <c r="BI84" s="40">
        <f t="shared" si="42"/>
        <v>0</v>
      </c>
      <c r="BJ84" s="40">
        <f t="shared" si="43"/>
        <v>0</v>
      </c>
      <c r="BK84" s="40"/>
      <c r="BL84" s="40">
        <v>725</v>
      </c>
    </row>
    <row r="85" spans="1:64" ht="15" customHeight="1">
      <c r="A85" s="9" t="s">
        <v>243</v>
      </c>
      <c r="B85" s="33" t="s">
        <v>169</v>
      </c>
      <c r="C85" s="61" t="s">
        <v>392</v>
      </c>
      <c r="D85" s="61"/>
      <c r="E85" s="61"/>
      <c r="F85" s="61"/>
      <c r="G85" s="33" t="s">
        <v>202</v>
      </c>
      <c r="H85" s="40">
        <v>1</v>
      </c>
      <c r="I85" s="40">
        <v>0</v>
      </c>
      <c r="J85" s="40">
        <f t="shared" si="22"/>
        <v>0</v>
      </c>
      <c r="K85" s="40">
        <f t="shared" si="23"/>
        <v>0</v>
      </c>
      <c r="L85" s="40">
        <f t="shared" si="24"/>
        <v>0</v>
      </c>
      <c r="M85" s="19" t="s">
        <v>216</v>
      </c>
      <c r="Z85" s="40">
        <f t="shared" si="25"/>
        <v>0</v>
      </c>
      <c r="AB85" s="40">
        <f t="shared" si="26"/>
        <v>0</v>
      </c>
      <c r="AC85" s="40">
        <f t="shared" si="27"/>
        <v>0</v>
      </c>
      <c r="AD85" s="40">
        <f t="shared" si="28"/>
        <v>0</v>
      </c>
      <c r="AE85" s="40">
        <f t="shared" si="29"/>
        <v>0</v>
      </c>
      <c r="AF85" s="40">
        <f t="shared" si="30"/>
        <v>0</v>
      </c>
      <c r="AG85" s="40">
        <f t="shared" si="31"/>
        <v>0</v>
      </c>
      <c r="AH85" s="40">
        <f t="shared" si="32"/>
        <v>0</v>
      </c>
      <c r="AI85" s="31" t="s">
        <v>391</v>
      </c>
      <c r="AJ85" s="40">
        <f t="shared" si="33"/>
        <v>0</v>
      </c>
      <c r="AK85" s="40">
        <f t="shared" si="34"/>
        <v>0</v>
      </c>
      <c r="AL85" s="40">
        <f t="shared" si="35"/>
        <v>0</v>
      </c>
      <c r="AN85" s="40">
        <v>21</v>
      </c>
      <c r="AO85" s="40">
        <f>I85*0.875268292682927</f>
        <v>0</v>
      </c>
      <c r="AP85" s="40">
        <f>I85*(1-0.875268292682927)</f>
        <v>0</v>
      </c>
      <c r="AQ85" s="38" t="s">
        <v>550</v>
      </c>
      <c r="AV85" s="40">
        <f t="shared" si="36"/>
        <v>0</v>
      </c>
      <c r="AW85" s="40">
        <f t="shared" si="37"/>
        <v>0</v>
      </c>
      <c r="AX85" s="40">
        <f t="shared" si="38"/>
        <v>0</v>
      </c>
      <c r="AY85" s="38" t="s">
        <v>257</v>
      </c>
      <c r="AZ85" s="38" t="s">
        <v>38</v>
      </c>
      <c r="BA85" s="31" t="s">
        <v>427</v>
      </c>
      <c r="BC85" s="40">
        <f t="shared" si="39"/>
        <v>0</v>
      </c>
      <c r="BD85" s="40">
        <f t="shared" si="40"/>
        <v>0</v>
      </c>
      <c r="BE85" s="40">
        <v>0</v>
      </c>
      <c r="BF85" s="40">
        <f>85</f>
        <v>85</v>
      </c>
      <c r="BH85" s="40">
        <f t="shared" si="41"/>
        <v>0</v>
      </c>
      <c r="BI85" s="40">
        <f t="shared" si="42"/>
        <v>0</v>
      </c>
      <c r="BJ85" s="40">
        <f t="shared" si="43"/>
        <v>0</v>
      </c>
      <c r="BK85" s="40"/>
      <c r="BL85" s="40">
        <v>725</v>
      </c>
    </row>
    <row r="86" spans="1:64" ht="15" customHeight="1">
      <c r="A86" s="9" t="s">
        <v>238</v>
      </c>
      <c r="B86" s="33" t="s">
        <v>25</v>
      </c>
      <c r="C86" s="61" t="s">
        <v>609</v>
      </c>
      <c r="D86" s="61"/>
      <c r="E86" s="61"/>
      <c r="F86" s="61"/>
      <c r="G86" s="33" t="s">
        <v>491</v>
      </c>
      <c r="H86" s="40">
        <v>0.32</v>
      </c>
      <c r="I86" s="40">
        <v>0</v>
      </c>
      <c r="J86" s="40">
        <f t="shared" si="22"/>
        <v>0</v>
      </c>
      <c r="K86" s="40">
        <f t="shared" si="23"/>
        <v>0</v>
      </c>
      <c r="L86" s="40">
        <f t="shared" si="24"/>
        <v>0</v>
      </c>
      <c r="M86" s="19" t="s">
        <v>216</v>
      </c>
      <c r="Z86" s="40">
        <f t="shared" si="25"/>
        <v>0</v>
      </c>
      <c r="AB86" s="40">
        <f t="shared" si="26"/>
        <v>0</v>
      </c>
      <c r="AC86" s="40">
        <f t="shared" si="27"/>
        <v>0</v>
      </c>
      <c r="AD86" s="40">
        <f t="shared" si="28"/>
        <v>0</v>
      </c>
      <c r="AE86" s="40">
        <f t="shared" si="29"/>
        <v>0</v>
      </c>
      <c r="AF86" s="40">
        <f t="shared" si="30"/>
        <v>0</v>
      </c>
      <c r="AG86" s="40">
        <f t="shared" si="31"/>
        <v>0</v>
      </c>
      <c r="AH86" s="40">
        <f t="shared" si="32"/>
        <v>0</v>
      </c>
      <c r="AI86" s="31" t="s">
        <v>391</v>
      </c>
      <c r="AJ86" s="40">
        <f t="shared" si="33"/>
        <v>0</v>
      </c>
      <c r="AK86" s="40">
        <f t="shared" si="34"/>
        <v>0</v>
      </c>
      <c r="AL86" s="40">
        <f t="shared" si="35"/>
        <v>0</v>
      </c>
      <c r="AN86" s="40">
        <v>21</v>
      </c>
      <c r="AO86" s="40">
        <f>I86*0</f>
        <v>0</v>
      </c>
      <c r="AP86" s="40">
        <f>I86*(1-0)</f>
        <v>0</v>
      </c>
      <c r="AQ86" s="38" t="s">
        <v>300</v>
      </c>
      <c r="AV86" s="40">
        <f t="shared" si="36"/>
        <v>0</v>
      </c>
      <c r="AW86" s="40">
        <f t="shared" si="37"/>
        <v>0</v>
      </c>
      <c r="AX86" s="40">
        <f t="shared" si="38"/>
        <v>0</v>
      </c>
      <c r="AY86" s="38" t="s">
        <v>257</v>
      </c>
      <c r="AZ86" s="38" t="s">
        <v>38</v>
      </c>
      <c r="BA86" s="31" t="s">
        <v>427</v>
      </c>
      <c r="BC86" s="40">
        <f t="shared" si="39"/>
        <v>0</v>
      </c>
      <c r="BD86" s="40">
        <f t="shared" si="40"/>
        <v>0</v>
      </c>
      <c r="BE86" s="40">
        <v>0</v>
      </c>
      <c r="BF86" s="40">
        <f>86</f>
        <v>86</v>
      </c>
      <c r="BH86" s="40">
        <f t="shared" si="41"/>
        <v>0</v>
      </c>
      <c r="BI86" s="40">
        <f t="shared" si="42"/>
        <v>0</v>
      </c>
      <c r="BJ86" s="40">
        <f t="shared" si="43"/>
        <v>0</v>
      </c>
      <c r="BK86" s="40"/>
      <c r="BL86" s="40">
        <v>725</v>
      </c>
    </row>
    <row r="87" spans="1:47" ht="15" customHeight="1">
      <c r="A87" s="12" t="s">
        <v>391</v>
      </c>
      <c r="B87" s="36" t="s">
        <v>321</v>
      </c>
      <c r="C87" s="76" t="s">
        <v>580</v>
      </c>
      <c r="D87" s="76"/>
      <c r="E87" s="76"/>
      <c r="F87" s="76"/>
      <c r="G87" s="22" t="s">
        <v>513</v>
      </c>
      <c r="H87" s="22" t="s">
        <v>513</v>
      </c>
      <c r="I87" s="22" t="s">
        <v>513</v>
      </c>
      <c r="J87" s="17">
        <f>SUM(J88:J95)</f>
        <v>0</v>
      </c>
      <c r="K87" s="17">
        <f>SUM(K88:K95)</f>
        <v>0</v>
      </c>
      <c r="L87" s="17">
        <f>SUM(L88:L95)</f>
        <v>0</v>
      </c>
      <c r="M87" s="51" t="s">
        <v>391</v>
      </c>
      <c r="AI87" s="31" t="s">
        <v>391</v>
      </c>
      <c r="AS87" s="17">
        <f>SUM(AJ88:AJ95)</f>
        <v>0</v>
      </c>
      <c r="AT87" s="17">
        <f>SUM(AK88:AK95)</f>
        <v>0</v>
      </c>
      <c r="AU87" s="17">
        <f>SUM(AL88:AL95)</f>
        <v>0</v>
      </c>
    </row>
    <row r="88" spans="1:64" ht="15" customHeight="1">
      <c r="A88" s="9" t="s">
        <v>268</v>
      </c>
      <c r="B88" s="33" t="s">
        <v>293</v>
      </c>
      <c r="C88" s="61" t="s">
        <v>601</v>
      </c>
      <c r="D88" s="61"/>
      <c r="E88" s="61"/>
      <c r="F88" s="61"/>
      <c r="G88" s="33" t="s">
        <v>154</v>
      </c>
      <c r="H88" s="40">
        <v>1</v>
      </c>
      <c r="I88" s="40">
        <v>0</v>
      </c>
      <c r="J88" s="40">
        <f aca="true" t="shared" si="44" ref="J88:J95">H88*AO88</f>
        <v>0</v>
      </c>
      <c r="K88" s="40">
        <f aca="true" t="shared" si="45" ref="K88:K95">H88*AP88</f>
        <v>0</v>
      </c>
      <c r="L88" s="40">
        <f aca="true" t="shared" si="46" ref="L88:L95">H88*I88</f>
        <v>0</v>
      </c>
      <c r="M88" s="19" t="s">
        <v>216</v>
      </c>
      <c r="Z88" s="40">
        <f aca="true" t="shared" si="47" ref="Z88:Z95">IF(AQ88="5",BJ88,0)</f>
        <v>0</v>
      </c>
      <c r="AB88" s="40">
        <f aca="true" t="shared" si="48" ref="AB88:AB95">IF(AQ88="1",BH88,0)</f>
        <v>0</v>
      </c>
      <c r="AC88" s="40">
        <f aca="true" t="shared" si="49" ref="AC88:AC95">IF(AQ88="1",BI88,0)</f>
        <v>0</v>
      </c>
      <c r="AD88" s="40">
        <f aca="true" t="shared" si="50" ref="AD88:AD95">IF(AQ88="7",BH88,0)</f>
        <v>0</v>
      </c>
      <c r="AE88" s="40">
        <f aca="true" t="shared" si="51" ref="AE88:AE95">IF(AQ88="7",BI88,0)</f>
        <v>0</v>
      </c>
      <c r="AF88" s="40">
        <f aca="true" t="shared" si="52" ref="AF88:AF95">IF(AQ88="2",BH88,0)</f>
        <v>0</v>
      </c>
      <c r="AG88" s="40">
        <f aca="true" t="shared" si="53" ref="AG88:AG95">IF(AQ88="2",BI88,0)</f>
        <v>0</v>
      </c>
      <c r="AH88" s="40">
        <f aca="true" t="shared" si="54" ref="AH88:AH95">IF(AQ88="0",BJ88,0)</f>
        <v>0</v>
      </c>
      <c r="AI88" s="31" t="s">
        <v>391</v>
      </c>
      <c r="AJ88" s="40">
        <f aca="true" t="shared" si="55" ref="AJ88:AJ95">IF(AN88=0,L88,0)</f>
        <v>0</v>
      </c>
      <c r="AK88" s="40">
        <f aca="true" t="shared" si="56" ref="AK88:AK95">IF(AN88=15,L88,0)</f>
        <v>0</v>
      </c>
      <c r="AL88" s="40">
        <f aca="true" t="shared" si="57" ref="AL88:AL95">IF(AN88=21,L88,0)</f>
        <v>0</v>
      </c>
      <c r="AN88" s="40">
        <v>21</v>
      </c>
      <c r="AO88" s="40">
        <f>I88*0</f>
        <v>0</v>
      </c>
      <c r="AP88" s="40">
        <f>I88*(1-0)</f>
        <v>0</v>
      </c>
      <c r="AQ88" s="38" t="s">
        <v>550</v>
      </c>
      <c r="AV88" s="40">
        <f aca="true" t="shared" si="58" ref="AV88:AV95">AW88+AX88</f>
        <v>0</v>
      </c>
      <c r="AW88" s="40">
        <f aca="true" t="shared" si="59" ref="AW88:AW95">H88*AO88</f>
        <v>0</v>
      </c>
      <c r="AX88" s="40">
        <f aca="true" t="shared" si="60" ref="AX88:AX95">H88*AP88</f>
        <v>0</v>
      </c>
      <c r="AY88" s="38" t="s">
        <v>456</v>
      </c>
      <c r="AZ88" s="38" t="s">
        <v>38</v>
      </c>
      <c r="BA88" s="31" t="s">
        <v>427</v>
      </c>
      <c r="BC88" s="40">
        <f aca="true" t="shared" si="61" ref="BC88:BC95">AW88+AX88</f>
        <v>0</v>
      </c>
      <c r="BD88" s="40">
        <f aca="true" t="shared" si="62" ref="BD88:BD95">I88/(100-BE88)*100</f>
        <v>0</v>
      </c>
      <c r="BE88" s="40">
        <v>0</v>
      </c>
      <c r="BF88" s="40">
        <f>88</f>
        <v>88</v>
      </c>
      <c r="BH88" s="40">
        <f aca="true" t="shared" si="63" ref="BH88:BH95">H88*AO88</f>
        <v>0</v>
      </c>
      <c r="BI88" s="40">
        <f aca="true" t="shared" si="64" ref="BI88:BI95">H88*AP88</f>
        <v>0</v>
      </c>
      <c r="BJ88" s="40">
        <f aca="true" t="shared" si="65" ref="BJ88:BJ95">H88*I88</f>
        <v>0</v>
      </c>
      <c r="BK88" s="40"/>
      <c r="BL88" s="40">
        <v>728</v>
      </c>
    </row>
    <row r="89" spans="1:64" ht="15" customHeight="1">
      <c r="A89" s="9" t="s">
        <v>511</v>
      </c>
      <c r="B89" s="33" t="s">
        <v>592</v>
      </c>
      <c r="C89" s="61" t="s">
        <v>254</v>
      </c>
      <c r="D89" s="61"/>
      <c r="E89" s="61"/>
      <c r="F89" s="61"/>
      <c r="G89" s="33" t="s">
        <v>469</v>
      </c>
      <c r="H89" s="40">
        <v>2</v>
      </c>
      <c r="I89" s="40">
        <v>0</v>
      </c>
      <c r="J89" s="40">
        <f t="shared" si="44"/>
        <v>0</v>
      </c>
      <c r="K89" s="40">
        <f t="shared" si="45"/>
        <v>0</v>
      </c>
      <c r="L89" s="40">
        <f t="shared" si="46"/>
        <v>0</v>
      </c>
      <c r="M89" s="19" t="s">
        <v>216</v>
      </c>
      <c r="Z89" s="40">
        <f t="shared" si="47"/>
        <v>0</v>
      </c>
      <c r="AB89" s="40">
        <f t="shared" si="48"/>
        <v>0</v>
      </c>
      <c r="AC89" s="40">
        <f t="shared" si="49"/>
        <v>0</v>
      </c>
      <c r="AD89" s="40">
        <f t="shared" si="50"/>
        <v>0</v>
      </c>
      <c r="AE89" s="40">
        <f t="shared" si="51"/>
        <v>0</v>
      </c>
      <c r="AF89" s="40">
        <f t="shared" si="52"/>
        <v>0</v>
      </c>
      <c r="AG89" s="40">
        <f t="shared" si="53"/>
        <v>0</v>
      </c>
      <c r="AH89" s="40">
        <f t="shared" si="54"/>
        <v>0</v>
      </c>
      <c r="AI89" s="31" t="s">
        <v>391</v>
      </c>
      <c r="AJ89" s="40">
        <f t="shared" si="55"/>
        <v>0</v>
      </c>
      <c r="AK89" s="40">
        <f t="shared" si="56"/>
        <v>0</v>
      </c>
      <c r="AL89" s="40">
        <f t="shared" si="57"/>
        <v>0</v>
      </c>
      <c r="AN89" s="40">
        <v>21</v>
      </c>
      <c r="AO89" s="40">
        <f>I89*0</f>
        <v>0</v>
      </c>
      <c r="AP89" s="40">
        <f>I89*(1-0)</f>
        <v>0</v>
      </c>
      <c r="AQ89" s="38" t="s">
        <v>550</v>
      </c>
      <c r="AV89" s="40">
        <f t="shared" si="58"/>
        <v>0</v>
      </c>
      <c r="AW89" s="40">
        <f t="shared" si="59"/>
        <v>0</v>
      </c>
      <c r="AX89" s="40">
        <f t="shared" si="60"/>
        <v>0</v>
      </c>
      <c r="AY89" s="38" t="s">
        <v>456</v>
      </c>
      <c r="AZ89" s="38" t="s">
        <v>38</v>
      </c>
      <c r="BA89" s="31" t="s">
        <v>427</v>
      </c>
      <c r="BC89" s="40">
        <f t="shared" si="61"/>
        <v>0</v>
      </c>
      <c r="BD89" s="40">
        <f t="shared" si="62"/>
        <v>0</v>
      </c>
      <c r="BE89" s="40">
        <v>0</v>
      </c>
      <c r="BF89" s="40">
        <f>89</f>
        <v>89</v>
      </c>
      <c r="BH89" s="40">
        <f t="shared" si="63"/>
        <v>0</v>
      </c>
      <c r="BI89" s="40">
        <f t="shared" si="64"/>
        <v>0</v>
      </c>
      <c r="BJ89" s="40">
        <f t="shared" si="65"/>
        <v>0</v>
      </c>
      <c r="BK89" s="40"/>
      <c r="BL89" s="40">
        <v>728</v>
      </c>
    </row>
    <row r="90" spans="1:64" ht="15" customHeight="1">
      <c r="A90" s="9" t="s">
        <v>376</v>
      </c>
      <c r="B90" s="33" t="s">
        <v>458</v>
      </c>
      <c r="C90" s="61" t="s">
        <v>547</v>
      </c>
      <c r="D90" s="61"/>
      <c r="E90" s="61"/>
      <c r="F90" s="61"/>
      <c r="G90" s="33" t="s">
        <v>154</v>
      </c>
      <c r="H90" s="40">
        <v>1</v>
      </c>
      <c r="I90" s="40">
        <v>0</v>
      </c>
      <c r="J90" s="40">
        <f t="shared" si="44"/>
        <v>0</v>
      </c>
      <c r="K90" s="40">
        <f t="shared" si="45"/>
        <v>0</v>
      </c>
      <c r="L90" s="40">
        <f t="shared" si="46"/>
        <v>0</v>
      </c>
      <c r="M90" s="19" t="s">
        <v>216</v>
      </c>
      <c r="Z90" s="40">
        <f t="shared" si="47"/>
        <v>0</v>
      </c>
      <c r="AB90" s="40">
        <f t="shared" si="48"/>
        <v>0</v>
      </c>
      <c r="AC90" s="40">
        <f t="shared" si="49"/>
        <v>0</v>
      </c>
      <c r="AD90" s="40">
        <f t="shared" si="50"/>
        <v>0</v>
      </c>
      <c r="AE90" s="40">
        <f t="shared" si="51"/>
        <v>0</v>
      </c>
      <c r="AF90" s="40">
        <f t="shared" si="52"/>
        <v>0</v>
      </c>
      <c r="AG90" s="40">
        <f t="shared" si="53"/>
        <v>0</v>
      </c>
      <c r="AH90" s="40">
        <f t="shared" si="54"/>
        <v>0</v>
      </c>
      <c r="AI90" s="31" t="s">
        <v>391</v>
      </c>
      <c r="AJ90" s="40">
        <f t="shared" si="55"/>
        <v>0</v>
      </c>
      <c r="AK90" s="40">
        <f t="shared" si="56"/>
        <v>0</v>
      </c>
      <c r="AL90" s="40">
        <f t="shared" si="57"/>
        <v>0</v>
      </c>
      <c r="AN90" s="40">
        <v>21</v>
      </c>
      <c r="AO90" s="40">
        <f>I90*1</f>
        <v>0</v>
      </c>
      <c r="AP90" s="40">
        <f>I90*(1-1)</f>
        <v>0</v>
      </c>
      <c r="AQ90" s="38" t="s">
        <v>550</v>
      </c>
      <c r="AV90" s="40">
        <f t="shared" si="58"/>
        <v>0</v>
      </c>
      <c r="AW90" s="40">
        <f t="shared" si="59"/>
        <v>0</v>
      </c>
      <c r="AX90" s="40">
        <f t="shared" si="60"/>
        <v>0</v>
      </c>
      <c r="AY90" s="38" t="s">
        <v>456</v>
      </c>
      <c r="AZ90" s="38" t="s">
        <v>38</v>
      </c>
      <c r="BA90" s="31" t="s">
        <v>427</v>
      </c>
      <c r="BC90" s="40">
        <f t="shared" si="61"/>
        <v>0</v>
      </c>
      <c r="BD90" s="40">
        <f t="shared" si="62"/>
        <v>0</v>
      </c>
      <c r="BE90" s="40">
        <v>0</v>
      </c>
      <c r="BF90" s="40">
        <f>90</f>
        <v>90</v>
      </c>
      <c r="BH90" s="40">
        <f t="shared" si="63"/>
        <v>0</v>
      </c>
      <c r="BI90" s="40">
        <f t="shared" si="64"/>
        <v>0</v>
      </c>
      <c r="BJ90" s="40">
        <f t="shared" si="65"/>
        <v>0</v>
      </c>
      <c r="BK90" s="40"/>
      <c r="BL90" s="40">
        <v>728</v>
      </c>
    </row>
    <row r="91" spans="1:64" ht="15" customHeight="1">
      <c r="A91" s="9" t="s">
        <v>353</v>
      </c>
      <c r="B91" s="33" t="s">
        <v>284</v>
      </c>
      <c r="C91" s="61" t="s">
        <v>512</v>
      </c>
      <c r="D91" s="61"/>
      <c r="E91" s="61"/>
      <c r="F91" s="61"/>
      <c r="G91" s="33" t="s">
        <v>154</v>
      </c>
      <c r="H91" s="40">
        <v>2</v>
      </c>
      <c r="I91" s="40">
        <v>0</v>
      </c>
      <c r="J91" s="40">
        <f t="shared" si="44"/>
        <v>0</v>
      </c>
      <c r="K91" s="40">
        <f t="shared" si="45"/>
        <v>0</v>
      </c>
      <c r="L91" s="40">
        <f t="shared" si="46"/>
        <v>0</v>
      </c>
      <c r="M91" s="19" t="s">
        <v>216</v>
      </c>
      <c r="Z91" s="40">
        <f t="shared" si="47"/>
        <v>0</v>
      </c>
      <c r="AB91" s="40">
        <f t="shared" si="48"/>
        <v>0</v>
      </c>
      <c r="AC91" s="40">
        <f t="shared" si="49"/>
        <v>0</v>
      </c>
      <c r="AD91" s="40">
        <f t="shared" si="50"/>
        <v>0</v>
      </c>
      <c r="AE91" s="40">
        <f t="shared" si="51"/>
        <v>0</v>
      </c>
      <c r="AF91" s="40">
        <f t="shared" si="52"/>
        <v>0</v>
      </c>
      <c r="AG91" s="40">
        <f t="shared" si="53"/>
        <v>0</v>
      </c>
      <c r="AH91" s="40">
        <f t="shared" si="54"/>
        <v>0</v>
      </c>
      <c r="AI91" s="31" t="s">
        <v>391</v>
      </c>
      <c r="AJ91" s="40">
        <f t="shared" si="55"/>
        <v>0</v>
      </c>
      <c r="AK91" s="40">
        <f t="shared" si="56"/>
        <v>0</v>
      </c>
      <c r="AL91" s="40">
        <f t="shared" si="57"/>
        <v>0</v>
      </c>
      <c r="AN91" s="40">
        <v>21</v>
      </c>
      <c r="AO91" s="40">
        <f>I91*1</f>
        <v>0</v>
      </c>
      <c r="AP91" s="40">
        <f>I91*(1-1)</f>
        <v>0</v>
      </c>
      <c r="AQ91" s="38" t="s">
        <v>550</v>
      </c>
      <c r="AV91" s="40">
        <f t="shared" si="58"/>
        <v>0</v>
      </c>
      <c r="AW91" s="40">
        <f t="shared" si="59"/>
        <v>0</v>
      </c>
      <c r="AX91" s="40">
        <f t="shared" si="60"/>
        <v>0</v>
      </c>
      <c r="AY91" s="38" t="s">
        <v>456</v>
      </c>
      <c r="AZ91" s="38" t="s">
        <v>38</v>
      </c>
      <c r="BA91" s="31" t="s">
        <v>427</v>
      </c>
      <c r="BC91" s="40">
        <f t="shared" si="61"/>
        <v>0</v>
      </c>
      <c r="BD91" s="40">
        <f t="shared" si="62"/>
        <v>0</v>
      </c>
      <c r="BE91" s="40">
        <v>0</v>
      </c>
      <c r="BF91" s="40">
        <f>91</f>
        <v>91</v>
      </c>
      <c r="BH91" s="40">
        <f t="shared" si="63"/>
        <v>0</v>
      </c>
      <c r="BI91" s="40">
        <f t="shared" si="64"/>
        <v>0</v>
      </c>
      <c r="BJ91" s="40">
        <f t="shared" si="65"/>
        <v>0</v>
      </c>
      <c r="BK91" s="40"/>
      <c r="BL91" s="40">
        <v>728</v>
      </c>
    </row>
    <row r="92" spans="1:64" ht="15" customHeight="1">
      <c r="A92" s="9" t="s">
        <v>524</v>
      </c>
      <c r="B92" s="33" t="s">
        <v>569</v>
      </c>
      <c r="C92" s="61" t="s">
        <v>248</v>
      </c>
      <c r="D92" s="61"/>
      <c r="E92" s="61"/>
      <c r="F92" s="61"/>
      <c r="G92" s="33" t="s">
        <v>154</v>
      </c>
      <c r="H92" s="40">
        <v>2</v>
      </c>
      <c r="I92" s="40">
        <v>0</v>
      </c>
      <c r="J92" s="40">
        <f t="shared" si="44"/>
        <v>0</v>
      </c>
      <c r="K92" s="40">
        <f t="shared" si="45"/>
        <v>0</v>
      </c>
      <c r="L92" s="40">
        <f t="shared" si="46"/>
        <v>0</v>
      </c>
      <c r="M92" s="19" t="s">
        <v>473</v>
      </c>
      <c r="Z92" s="40">
        <f t="shared" si="47"/>
        <v>0</v>
      </c>
      <c r="AB92" s="40">
        <f t="shared" si="48"/>
        <v>0</v>
      </c>
      <c r="AC92" s="40">
        <f t="shared" si="49"/>
        <v>0</v>
      </c>
      <c r="AD92" s="40">
        <f t="shared" si="50"/>
        <v>0</v>
      </c>
      <c r="AE92" s="40">
        <f t="shared" si="51"/>
        <v>0</v>
      </c>
      <c r="AF92" s="40">
        <f t="shared" si="52"/>
        <v>0</v>
      </c>
      <c r="AG92" s="40">
        <f t="shared" si="53"/>
        <v>0</v>
      </c>
      <c r="AH92" s="40">
        <f t="shared" si="54"/>
        <v>0</v>
      </c>
      <c r="AI92" s="31" t="s">
        <v>391</v>
      </c>
      <c r="AJ92" s="40">
        <f t="shared" si="55"/>
        <v>0</v>
      </c>
      <c r="AK92" s="40">
        <f t="shared" si="56"/>
        <v>0</v>
      </c>
      <c r="AL92" s="40">
        <f t="shared" si="57"/>
        <v>0</v>
      </c>
      <c r="AN92" s="40">
        <v>21</v>
      </c>
      <c r="AO92" s="40">
        <f>I92*0</f>
        <v>0</v>
      </c>
      <c r="AP92" s="40">
        <f>I92*(1-0)</f>
        <v>0</v>
      </c>
      <c r="AQ92" s="38" t="s">
        <v>550</v>
      </c>
      <c r="AV92" s="40">
        <f t="shared" si="58"/>
        <v>0</v>
      </c>
      <c r="AW92" s="40">
        <f t="shared" si="59"/>
        <v>0</v>
      </c>
      <c r="AX92" s="40">
        <f t="shared" si="60"/>
        <v>0</v>
      </c>
      <c r="AY92" s="38" t="s">
        <v>456</v>
      </c>
      <c r="AZ92" s="38" t="s">
        <v>38</v>
      </c>
      <c r="BA92" s="31" t="s">
        <v>427</v>
      </c>
      <c r="BC92" s="40">
        <f t="shared" si="61"/>
        <v>0</v>
      </c>
      <c r="BD92" s="40">
        <f t="shared" si="62"/>
        <v>0</v>
      </c>
      <c r="BE92" s="40">
        <v>0</v>
      </c>
      <c r="BF92" s="40">
        <f>92</f>
        <v>92</v>
      </c>
      <c r="BH92" s="40">
        <f t="shared" si="63"/>
        <v>0</v>
      </c>
      <c r="BI92" s="40">
        <f t="shared" si="64"/>
        <v>0</v>
      </c>
      <c r="BJ92" s="40">
        <f t="shared" si="65"/>
        <v>0</v>
      </c>
      <c r="BK92" s="40"/>
      <c r="BL92" s="40">
        <v>728</v>
      </c>
    </row>
    <row r="93" spans="1:64" ht="15" customHeight="1">
      <c r="A93" s="9" t="s">
        <v>331</v>
      </c>
      <c r="B93" s="33" t="s">
        <v>85</v>
      </c>
      <c r="C93" s="61" t="s">
        <v>43</v>
      </c>
      <c r="D93" s="61"/>
      <c r="E93" s="61"/>
      <c r="F93" s="61"/>
      <c r="G93" s="33" t="s">
        <v>154</v>
      </c>
      <c r="H93" s="40">
        <v>2</v>
      </c>
      <c r="I93" s="40">
        <v>0</v>
      </c>
      <c r="J93" s="40">
        <f t="shared" si="44"/>
        <v>0</v>
      </c>
      <c r="K93" s="40">
        <f t="shared" si="45"/>
        <v>0</v>
      </c>
      <c r="L93" s="40">
        <f t="shared" si="46"/>
        <v>0</v>
      </c>
      <c r="M93" s="19" t="s">
        <v>473</v>
      </c>
      <c r="Z93" s="40">
        <f t="shared" si="47"/>
        <v>0</v>
      </c>
      <c r="AB93" s="40">
        <f t="shared" si="48"/>
        <v>0</v>
      </c>
      <c r="AC93" s="40">
        <f t="shared" si="49"/>
        <v>0</v>
      </c>
      <c r="AD93" s="40">
        <f t="shared" si="50"/>
        <v>0</v>
      </c>
      <c r="AE93" s="40">
        <f t="shared" si="51"/>
        <v>0</v>
      </c>
      <c r="AF93" s="40">
        <f t="shared" si="52"/>
        <v>0</v>
      </c>
      <c r="AG93" s="40">
        <f t="shared" si="53"/>
        <v>0</v>
      </c>
      <c r="AH93" s="40">
        <f t="shared" si="54"/>
        <v>0</v>
      </c>
      <c r="AI93" s="31" t="s">
        <v>391</v>
      </c>
      <c r="AJ93" s="40">
        <f t="shared" si="55"/>
        <v>0</v>
      </c>
      <c r="AK93" s="40">
        <f t="shared" si="56"/>
        <v>0</v>
      </c>
      <c r="AL93" s="40">
        <f t="shared" si="57"/>
        <v>0</v>
      </c>
      <c r="AN93" s="40">
        <v>21</v>
      </c>
      <c r="AO93" s="40">
        <f>I93*0</f>
        <v>0</v>
      </c>
      <c r="AP93" s="40">
        <f>I93*(1-0)</f>
        <v>0</v>
      </c>
      <c r="AQ93" s="38" t="s">
        <v>550</v>
      </c>
      <c r="AV93" s="40">
        <f t="shared" si="58"/>
        <v>0</v>
      </c>
      <c r="AW93" s="40">
        <f t="shared" si="59"/>
        <v>0</v>
      </c>
      <c r="AX93" s="40">
        <f t="shared" si="60"/>
        <v>0</v>
      </c>
      <c r="AY93" s="38" t="s">
        <v>456</v>
      </c>
      <c r="AZ93" s="38" t="s">
        <v>38</v>
      </c>
      <c r="BA93" s="31" t="s">
        <v>427</v>
      </c>
      <c r="BC93" s="40">
        <f t="shared" si="61"/>
        <v>0</v>
      </c>
      <c r="BD93" s="40">
        <f t="shared" si="62"/>
        <v>0</v>
      </c>
      <c r="BE93" s="40">
        <v>0</v>
      </c>
      <c r="BF93" s="40">
        <f>93</f>
        <v>93</v>
      </c>
      <c r="BH93" s="40">
        <f t="shared" si="63"/>
        <v>0</v>
      </c>
      <c r="BI93" s="40">
        <f t="shared" si="64"/>
        <v>0</v>
      </c>
      <c r="BJ93" s="40">
        <f t="shared" si="65"/>
        <v>0</v>
      </c>
      <c r="BK93" s="40"/>
      <c r="BL93" s="40">
        <v>728</v>
      </c>
    </row>
    <row r="94" spans="1:64" ht="15" customHeight="1">
      <c r="A94" s="9" t="s">
        <v>263</v>
      </c>
      <c r="B94" s="33" t="s">
        <v>40</v>
      </c>
      <c r="C94" s="61" t="s">
        <v>206</v>
      </c>
      <c r="D94" s="61"/>
      <c r="E94" s="61"/>
      <c r="F94" s="61"/>
      <c r="G94" s="33" t="s">
        <v>154</v>
      </c>
      <c r="H94" s="40">
        <v>2</v>
      </c>
      <c r="I94" s="40">
        <v>0</v>
      </c>
      <c r="J94" s="40">
        <f t="shared" si="44"/>
        <v>0</v>
      </c>
      <c r="K94" s="40">
        <f t="shared" si="45"/>
        <v>0</v>
      </c>
      <c r="L94" s="40">
        <f t="shared" si="46"/>
        <v>0</v>
      </c>
      <c r="M94" s="19" t="s">
        <v>473</v>
      </c>
      <c r="Z94" s="40">
        <f t="shared" si="47"/>
        <v>0</v>
      </c>
      <c r="AB94" s="40">
        <f t="shared" si="48"/>
        <v>0</v>
      </c>
      <c r="AC94" s="40">
        <f t="shared" si="49"/>
        <v>0</v>
      </c>
      <c r="AD94" s="40">
        <f t="shared" si="50"/>
        <v>0</v>
      </c>
      <c r="AE94" s="40">
        <f t="shared" si="51"/>
        <v>0</v>
      </c>
      <c r="AF94" s="40">
        <f t="shared" si="52"/>
        <v>0</v>
      </c>
      <c r="AG94" s="40">
        <f t="shared" si="53"/>
        <v>0</v>
      </c>
      <c r="AH94" s="40">
        <f t="shared" si="54"/>
        <v>0</v>
      </c>
      <c r="AI94" s="31" t="s">
        <v>391</v>
      </c>
      <c r="AJ94" s="40">
        <f t="shared" si="55"/>
        <v>0</v>
      </c>
      <c r="AK94" s="40">
        <f t="shared" si="56"/>
        <v>0</v>
      </c>
      <c r="AL94" s="40">
        <f t="shared" si="57"/>
        <v>0</v>
      </c>
      <c r="AN94" s="40">
        <v>21</v>
      </c>
      <c r="AO94" s="40">
        <f>I94*0</f>
        <v>0</v>
      </c>
      <c r="AP94" s="40">
        <f>I94*(1-0)</f>
        <v>0</v>
      </c>
      <c r="AQ94" s="38" t="s">
        <v>550</v>
      </c>
      <c r="AV94" s="40">
        <f t="shared" si="58"/>
        <v>0</v>
      </c>
      <c r="AW94" s="40">
        <f t="shared" si="59"/>
        <v>0</v>
      </c>
      <c r="AX94" s="40">
        <f t="shared" si="60"/>
        <v>0</v>
      </c>
      <c r="AY94" s="38" t="s">
        <v>456</v>
      </c>
      <c r="AZ94" s="38" t="s">
        <v>38</v>
      </c>
      <c r="BA94" s="31" t="s">
        <v>427</v>
      </c>
      <c r="BC94" s="40">
        <f t="shared" si="61"/>
        <v>0</v>
      </c>
      <c r="BD94" s="40">
        <f t="shared" si="62"/>
        <v>0</v>
      </c>
      <c r="BE94" s="40">
        <v>0</v>
      </c>
      <c r="BF94" s="40">
        <f>94</f>
        <v>94</v>
      </c>
      <c r="BH94" s="40">
        <f t="shared" si="63"/>
        <v>0</v>
      </c>
      <c r="BI94" s="40">
        <f t="shared" si="64"/>
        <v>0</v>
      </c>
      <c r="BJ94" s="40">
        <f t="shared" si="65"/>
        <v>0</v>
      </c>
      <c r="BK94" s="40"/>
      <c r="BL94" s="40">
        <v>728</v>
      </c>
    </row>
    <row r="95" spans="1:64" ht="15" customHeight="1">
      <c r="A95" s="9" t="s">
        <v>80</v>
      </c>
      <c r="B95" s="33" t="s">
        <v>624</v>
      </c>
      <c r="C95" s="61" t="s">
        <v>63</v>
      </c>
      <c r="D95" s="61"/>
      <c r="E95" s="61"/>
      <c r="F95" s="61"/>
      <c r="G95" s="33" t="s">
        <v>253</v>
      </c>
      <c r="H95" s="40">
        <v>10</v>
      </c>
      <c r="I95" s="40">
        <v>0</v>
      </c>
      <c r="J95" s="40">
        <f t="shared" si="44"/>
        <v>0</v>
      </c>
      <c r="K95" s="40">
        <f t="shared" si="45"/>
        <v>0</v>
      </c>
      <c r="L95" s="40">
        <f t="shared" si="46"/>
        <v>0</v>
      </c>
      <c r="M95" s="19" t="s">
        <v>473</v>
      </c>
      <c r="Z95" s="40">
        <f t="shared" si="47"/>
        <v>0</v>
      </c>
      <c r="AB95" s="40">
        <f t="shared" si="48"/>
        <v>0</v>
      </c>
      <c r="AC95" s="40">
        <f t="shared" si="49"/>
        <v>0</v>
      </c>
      <c r="AD95" s="40">
        <f t="shared" si="50"/>
        <v>0</v>
      </c>
      <c r="AE95" s="40">
        <f t="shared" si="51"/>
        <v>0</v>
      </c>
      <c r="AF95" s="40">
        <f t="shared" si="52"/>
        <v>0</v>
      </c>
      <c r="AG95" s="40">
        <f t="shared" si="53"/>
        <v>0</v>
      </c>
      <c r="AH95" s="40">
        <f t="shared" si="54"/>
        <v>0</v>
      </c>
      <c r="AI95" s="31" t="s">
        <v>391</v>
      </c>
      <c r="AJ95" s="40">
        <f t="shared" si="55"/>
        <v>0</v>
      </c>
      <c r="AK95" s="40">
        <f t="shared" si="56"/>
        <v>0</v>
      </c>
      <c r="AL95" s="40">
        <f t="shared" si="57"/>
        <v>0</v>
      </c>
      <c r="AN95" s="40">
        <v>21</v>
      </c>
      <c r="AO95" s="40">
        <f>I95*0</f>
        <v>0</v>
      </c>
      <c r="AP95" s="40">
        <f>I95*(1-0)</f>
        <v>0</v>
      </c>
      <c r="AQ95" s="38" t="s">
        <v>550</v>
      </c>
      <c r="AV95" s="40">
        <f t="shared" si="58"/>
        <v>0</v>
      </c>
      <c r="AW95" s="40">
        <f t="shared" si="59"/>
        <v>0</v>
      </c>
      <c r="AX95" s="40">
        <f t="shared" si="60"/>
        <v>0</v>
      </c>
      <c r="AY95" s="38" t="s">
        <v>456</v>
      </c>
      <c r="AZ95" s="38" t="s">
        <v>38</v>
      </c>
      <c r="BA95" s="31" t="s">
        <v>427</v>
      </c>
      <c r="BC95" s="40">
        <f t="shared" si="61"/>
        <v>0</v>
      </c>
      <c r="BD95" s="40">
        <f t="shared" si="62"/>
        <v>0</v>
      </c>
      <c r="BE95" s="40">
        <v>0</v>
      </c>
      <c r="BF95" s="40">
        <f>95</f>
        <v>95</v>
      </c>
      <c r="BH95" s="40">
        <f t="shared" si="63"/>
        <v>0</v>
      </c>
      <c r="BI95" s="40">
        <f t="shared" si="64"/>
        <v>0</v>
      </c>
      <c r="BJ95" s="40">
        <f t="shared" si="65"/>
        <v>0</v>
      </c>
      <c r="BK95" s="40"/>
      <c r="BL95" s="40">
        <v>728</v>
      </c>
    </row>
    <row r="96" spans="1:47" ht="15" customHeight="1">
      <c r="A96" s="12" t="s">
        <v>391</v>
      </c>
      <c r="B96" s="36" t="s">
        <v>237</v>
      </c>
      <c r="C96" s="76" t="s">
        <v>270</v>
      </c>
      <c r="D96" s="76"/>
      <c r="E96" s="76"/>
      <c r="F96" s="76"/>
      <c r="G96" s="22" t="s">
        <v>513</v>
      </c>
      <c r="H96" s="22" t="s">
        <v>513</v>
      </c>
      <c r="I96" s="22" t="s">
        <v>513</v>
      </c>
      <c r="J96" s="17">
        <f>SUM(J97:J109)</f>
        <v>0</v>
      </c>
      <c r="K96" s="17">
        <f>SUM(K97:K109)</f>
        <v>0</v>
      </c>
      <c r="L96" s="17">
        <f>SUM(L97:L109)</f>
        <v>0</v>
      </c>
      <c r="M96" s="51" t="s">
        <v>391</v>
      </c>
      <c r="AI96" s="31" t="s">
        <v>391</v>
      </c>
      <c r="AS96" s="17">
        <f>SUM(AJ97:AJ109)</f>
        <v>0</v>
      </c>
      <c r="AT96" s="17">
        <f>SUM(AK97:AK109)</f>
        <v>0</v>
      </c>
      <c r="AU96" s="17">
        <f>SUM(AL97:AL109)</f>
        <v>0</v>
      </c>
    </row>
    <row r="97" spans="1:64" ht="15" customHeight="1">
      <c r="A97" s="9" t="s">
        <v>409</v>
      </c>
      <c r="B97" s="33" t="s">
        <v>430</v>
      </c>
      <c r="C97" s="61" t="s">
        <v>316</v>
      </c>
      <c r="D97" s="61"/>
      <c r="E97" s="61"/>
      <c r="F97" s="61"/>
      <c r="G97" s="33" t="s">
        <v>543</v>
      </c>
      <c r="H97" s="40">
        <v>29.346</v>
      </c>
      <c r="I97" s="40">
        <v>0</v>
      </c>
      <c r="J97" s="40">
        <f>H97*AO97</f>
        <v>0</v>
      </c>
      <c r="K97" s="40">
        <f>H97*AP97</f>
        <v>0</v>
      </c>
      <c r="L97" s="40">
        <f>H97*I97</f>
        <v>0</v>
      </c>
      <c r="M97" s="19" t="s">
        <v>216</v>
      </c>
      <c r="Z97" s="40">
        <f>IF(AQ97="5",BJ97,0)</f>
        <v>0</v>
      </c>
      <c r="AB97" s="40">
        <f>IF(AQ97="1",BH97,0)</f>
        <v>0</v>
      </c>
      <c r="AC97" s="40">
        <f>IF(AQ97="1",BI97,0)</f>
        <v>0</v>
      </c>
      <c r="AD97" s="40">
        <f>IF(AQ97="7",BH97,0)</f>
        <v>0</v>
      </c>
      <c r="AE97" s="40">
        <f>IF(AQ97="7",BI97,0)</f>
        <v>0</v>
      </c>
      <c r="AF97" s="40">
        <f>IF(AQ97="2",BH97,0)</f>
        <v>0</v>
      </c>
      <c r="AG97" s="40">
        <f>IF(AQ97="2",BI97,0)</f>
        <v>0</v>
      </c>
      <c r="AH97" s="40">
        <f>IF(AQ97="0",BJ97,0)</f>
        <v>0</v>
      </c>
      <c r="AI97" s="31" t="s">
        <v>391</v>
      </c>
      <c r="AJ97" s="40">
        <f>IF(AN97=0,L97,0)</f>
        <v>0</v>
      </c>
      <c r="AK97" s="40">
        <f>IF(AN97=15,L97,0)</f>
        <v>0</v>
      </c>
      <c r="AL97" s="40">
        <f>IF(AN97=21,L97,0)</f>
        <v>0</v>
      </c>
      <c r="AN97" s="40">
        <v>21</v>
      </c>
      <c r="AO97" s="40">
        <f>I97*0</f>
        <v>0</v>
      </c>
      <c r="AP97" s="40">
        <f>I97*(1-0)</f>
        <v>0</v>
      </c>
      <c r="AQ97" s="38" t="s">
        <v>550</v>
      </c>
      <c r="AV97" s="40">
        <f>AW97+AX97</f>
        <v>0</v>
      </c>
      <c r="AW97" s="40">
        <f>H97*AO97</f>
        <v>0</v>
      </c>
      <c r="AX97" s="40">
        <f>H97*AP97</f>
        <v>0</v>
      </c>
      <c r="AY97" s="38" t="s">
        <v>69</v>
      </c>
      <c r="AZ97" s="38" t="s">
        <v>302</v>
      </c>
      <c r="BA97" s="31" t="s">
        <v>427</v>
      </c>
      <c r="BC97" s="40">
        <f>AW97+AX97</f>
        <v>0</v>
      </c>
      <c r="BD97" s="40">
        <f>I97/(100-BE97)*100</f>
        <v>0</v>
      </c>
      <c r="BE97" s="40">
        <v>0</v>
      </c>
      <c r="BF97" s="40">
        <f>97</f>
        <v>97</v>
      </c>
      <c r="BH97" s="40">
        <f>H97*AO97</f>
        <v>0</v>
      </c>
      <c r="BI97" s="40">
        <f>H97*AP97</f>
        <v>0</v>
      </c>
      <c r="BJ97" s="40">
        <f>H97*I97</f>
        <v>0</v>
      </c>
      <c r="BK97" s="40"/>
      <c r="BL97" s="40">
        <v>766</v>
      </c>
    </row>
    <row r="98" spans="1:13" ht="15" customHeight="1">
      <c r="A98" s="55"/>
      <c r="C98" s="14" t="s">
        <v>595</v>
      </c>
      <c r="F98" s="14" t="s">
        <v>391</v>
      </c>
      <c r="H98" s="45">
        <v>29.346000000000004</v>
      </c>
      <c r="M98" s="18"/>
    </row>
    <row r="99" spans="1:64" ht="15" customHeight="1">
      <c r="A99" s="9" t="s">
        <v>619</v>
      </c>
      <c r="B99" s="33" t="s">
        <v>0</v>
      </c>
      <c r="C99" s="61" t="s">
        <v>367</v>
      </c>
      <c r="D99" s="61"/>
      <c r="E99" s="61"/>
      <c r="F99" s="61"/>
      <c r="G99" s="33" t="s">
        <v>154</v>
      </c>
      <c r="H99" s="40">
        <v>2</v>
      </c>
      <c r="I99" s="40">
        <v>0</v>
      </c>
      <c r="J99" s="40">
        <f aca="true" t="shared" si="66" ref="J99:J109">H99*AO99</f>
        <v>0</v>
      </c>
      <c r="K99" s="40">
        <f aca="true" t="shared" si="67" ref="K99:K109">H99*AP99</f>
        <v>0</v>
      </c>
      <c r="L99" s="40">
        <f aca="true" t="shared" si="68" ref="L99:L109">H99*I99</f>
        <v>0</v>
      </c>
      <c r="M99" s="19" t="s">
        <v>216</v>
      </c>
      <c r="Z99" s="40">
        <f aca="true" t="shared" si="69" ref="Z99:Z109">IF(AQ99="5",BJ99,0)</f>
        <v>0</v>
      </c>
      <c r="AB99" s="40">
        <f aca="true" t="shared" si="70" ref="AB99:AB109">IF(AQ99="1",BH99,0)</f>
        <v>0</v>
      </c>
      <c r="AC99" s="40">
        <f aca="true" t="shared" si="71" ref="AC99:AC109">IF(AQ99="1",BI99,0)</f>
        <v>0</v>
      </c>
      <c r="AD99" s="40">
        <f aca="true" t="shared" si="72" ref="AD99:AD109">IF(AQ99="7",BH99,0)</f>
        <v>0</v>
      </c>
      <c r="AE99" s="40">
        <f aca="true" t="shared" si="73" ref="AE99:AE109">IF(AQ99="7",BI99,0)</f>
        <v>0</v>
      </c>
      <c r="AF99" s="40">
        <f aca="true" t="shared" si="74" ref="AF99:AF109">IF(AQ99="2",BH99,0)</f>
        <v>0</v>
      </c>
      <c r="AG99" s="40">
        <f aca="true" t="shared" si="75" ref="AG99:AG109">IF(AQ99="2",BI99,0)</f>
        <v>0</v>
      </c>
      <c r="AH99" s="40">
        <f aca="true" t="shared" si="76" ref="AH99:AH109">IF(AQ99="0",BJ99,0)</f>
        <v>0</v>
      </c>
      <c r="AI99" s="31" t="s">
        <v>391</v>
      </c>
      <c r="AJ99" s="40">
        <f aca="true" t="shared" si="77" ref="AJ99:AJ109">IF(AN99=0,L99,0)</f>
        <v>0</v>
      </c>
      <c r="AK99" s="40">
        <f aca="true" t="shared" si="78" ref="AK99:AK109">IF(AN99=15,L99,0)</f>
        <v>0</v>
      </c>
      <c r="AL99" s="40">
        <f aca="true" t="shared" si="79" ref="AL99:AL109">IF(AN99=21,L99,0)</f>
        <v>0</v>
      </c>
      <c r="AN99" s="40">
        <v>21</v>
      </c>
      <c r="AO99" s="40">
        <f>I99*0</f>
        <v>0</v>
      </c>
      <c r="AP99" s="40">
        <f>I99*(1-0)</f>
        <v>0</v>
      </c>
      <c r="AQ99" s="38" t="s">
        <v>550</v>
      </c>
      <c r="AV99" s="40">
        <f aca="true" t="shared" si="80" ref="AV99:AV109">AW99+AX99</f>
        <v>0</v>
      </c>
      <c r="AW99" s="40">
        <f aca="true" t="shared" si="81" ref="AW99:AW109">H99*AO99</f>
        <v>0</v>
      </c>
      <c r="AX99" s="40">
        <f aca="true" t="shared" si="82" ref="AX99:AX109">H99*AP99</f>
        <v>0</v>
      </c>
      <c r="AY99" s="38" t="s">
        <v>69</v>
      </c>
      <c r="AZ99" s="38" t="s">
        <v>302</v>
      </c>
      <c r="BA99" s="31" t="s">
        <v>427</v>
      </c>
      <c r="BC99" s="40">
        <f aca="true" t="shared" si="83" ref="BC99:BC109">AW99+AX99</f>
        <v>0</v>
      </c>
      <c r="BD99" s="40">
        <f aca="true" t="shared" si="84" ref="BD99:BD109">I99/(100-BE99)*100</f>
        <v>0</v>
      </c>
      <c r="BE99" s="40">
        <v>0</v>
      </c>
      <c r="BF99" s="40">
        <f>99</f>
        <v>99</v>
      </c>
      <c r="BH99" s="40">
        <f aca="true" t="shared" si="85" ref="BH99:BH109">H99*AO99</f>
        <v>0</v>
      </c>
      <c r="BI99" s="40">
        <f aca="true" t="shared" si="86" ref="BI99:BI109">H99*AP99</f>
        <v>0</v>
      </c>
      <c r="BJ99" s="40">
        <f aca="true" t="shared" si="87" ref="BJ99:BJ109">H99*I99</f>
        <v>0</v>
      </c>
      <c r="BK99" s="40"/>
      <c r="BL99" s="40">
        <v>766</v>
      </c>
    </row>
    <row r="100" spans="1:64" ht="15" customHeight="1">
      <c r="A100" s="9" t="s">
        <v>143</v>
      </c>
      <c r="B100" s="33" t="s">
        <v>290</v>
      </c>
      <c r="C100" s="61" t="s">
        <v>223</v>
      </c>
      <c r="D100" s="61"/>
      <c r="E100" s="61"/>
      <c r="F100" s="61"/>
      <c r="G100" s="33" t="s">
        <v>154</v>
      </c>
      <c r="H100" s="40">
        <v>1</v>
      </c>
      <c r="I100" s="40">
        <v>0</v>
      </c>
      <c r="J100" s="40">
        <f t="shared" si="66"/>
        <v>0</v>
      </c>
      <c r="K100" s="40">
        <f t="shared" si="67"/>
        <v>0</v>
      </c>
      <c r="L100" s="40">
        <f t="shared" si="68"/>
        <v>0</v>
      </c>
      <c r="M100" s="19" t="s">
        <v>216</v>
      </c>
      <c r="Z100" s="40">
        <f t="shared" si="69"/>
        <v>0</v>
      </c>
      <c r="AB100" s="40">
        <f t="shared" si="70"/>
        <v>0</v>
      </c>
      <c r="AC100" s="40">
        <f t="shared" si="71"/>
        <v>0</v>
      </c>
      <c r="AD100" s="40">
        <f t="shared" si="72"/>
        <v>0</v>
      </c>
      <c r="AE100" s="40">
        <f t="shared" si="73"/>
        <v>0</v>
      </c>
      <c r="AF100" s="40">
        <f t="shared" si="74"/>
        <v>0</v>
      </c>
      <c r="AG100" s="40">
        <f t="shared" si="75"/>
        <v>0</v>
      </c>
      <c r="AH100" s="40">
        <f t="shared" si="76"/>
        <v>0</v>
      </c>
      <c r="AI100" s="31" t="s">
        <v>391</v>
      </c>
      <c r="AJ100" s="40">
        <f t="shared" si="77"/>
        <v>0</v>
      </c>
      <c r="AK100" s="40">
        <f t="shared" si="78"/>
        <v>0</v>
      </c>
      <c r="AL100" s="40">
        <f t="shared" si="79"/>
        <v>0</v>
      </c>
      <c r="AN100" s="40">
        <v>21</v>
      </c>
      <c r="AO100" s="40">
        <f>I100*0</f>
        <v>0</v>
      </c>
      <c r="AP100" s="40">
        <f>I100*(1-0)</f>
        <v>0</v>
      </c>
      <c r="AQ100" s="38" t="s">
        <v>550</v>
      </c>
      <c r="AV100" s="40">
        <f t="shared" si="80"/>
        <v>0</v>
      </c>
      <c r="AW100" s="40">
        <f t="shared" si="81"/>
        <v>0</v>
      </c>
      <c r="AX100" s="40">
        <f t="shared" si="82"/>
        <v>0</v>
      </c>
      <c r="AY100" s="38" t="s">
        <v>69</v>
      </c>
      <c r="AZ100" s="38" t="s">
        <v>302</v>
      </c>
      <c r="BA100" s="31" t="s">
        <v>427</v>
      </c>
      <c r="BC100" s="40">
        <f t="shared" si="83"/>
        <v>0</v>
      </c>
      <c r="BD100" s="40">
        <f t="shared" si="84"/>
        <v>0</v>
      </c>
      <c r="BE100" s="40">
        <v>0</v>
      </c>
      <c r="BF100" s="40">
        <f>100</f>
        <v>100</v>
      </c>
      <c r="BH100" s="40">
        <f t="shared" si="85"/>
        <v>0</v>
      </c>
      <c r="BI100" s="40">
        <f t="shared" si="86"/>
        <v>0</v>
      </c>
      <c r="BJ100" s="40">
        <f t="shared" si="87"/>
        <v>0</v>
      </c>
      <c r="BK100" s="40"/>
      <c r="BL100" s="40">
        <v>766</v>
      </c>
    </row>
    <row r="101" spans="1:64" ht="15" customHeight="1">
      <c r="A101" s="9" t="s">
        <v>281</v>
      </c>
      <c r="B101" s="33" t="s">
        <v>616</v>
      </c>
      <c r="C101" s="61" t="s">
        <v>110</v>
      </c>
      <c r="D101" s="61"/>
      <c r="E101" s="61"/>
      <c r="F101" s="61"/>
      <c r="G101" s="33" t="s">
        <v>154</v>
      </c>
      <c r="H101" s="40">
        <v>1</v>
      </c>
      <c r="I101" s="40">
        <v>0</v>
      </c>
      <c r="J101" s="40">
        <f t="shared" si="66"/>
        <v>0</v>
      </c>
      <c r="K101" s="40">
        <f t="shared" si="67"/>
        <v>0</v>
      </c>
      <c r="L101" s="40">
        <f t="shared" si="68"/>
        <v>0</v>
      </c>
      <c r="M101" s="19" t="s">
        <v>216</v>
      </c>
      <c r="Z101" s="40">
        <f t="shared" si="69"/>
        <v>0</v>
      </c>
      <c r="AB101" s="40">
        <f t="shared" si="70"/>
        <v>0</v>
      </c>
      <c r="AC101" s="40">
        <f t="shared" si="71"/>
        <v>0</v>
      </c>
      <c r="AD101" s="40">
        <f t="shared" si="72"/>
        <v>0</v>
      </c>
      <c r="AE101" s="40">
        <f t="shared" si="73"/>
        <v>0</v>
      </c>
      <c r="AF101" s="40">
        <f t="shared" si="74"/>
        <v>0</v>
      </c>
      <c r="AG101" s="40">
        <f t="shared" si="75"/>
        <v>0</v>
      </c>
      <c r="AH101" s="40">
        <f t="shared" si="76"/>
        <v>0</v>
      </c>
      <c r="AI101" s="31" t="s">
        <v>391</v>
      </c>
      <c r="AJ101" s="40">
        <f t="shared" si="77"/>
        <v>0</v>
      </c>
      <c r="AK101" s="40">
        <f t="shared" si="78"/>
        <v>0</v>
      </c>
      <c r="AL101" s="40">
        <f t="shared" si="79"/>
        <v>0</v>
      </c>
      <c r="AN101" s="40">
        <v>21</v>
      </c>
      <c r="AO101" s="40">
        <f aca="true" t="shared" si="88" ref="AO101:AO108">I101*1</f>
        <v>0</v>
      </c>
      <c r="AP101" s="40">
        <f aca="true" t="shared" si="89" ref="AP101:AP108">I101*(1-1)</f>
        <v>0</v>
      </c>
      <c r="AQ101" s="38" t="s">
        <v>550</v>
      </c>
      <c r="AV101" s="40">
        <f t="shared" si="80"/>
        <v>0</v>
      </c>
      <c r="AW101" s="40">
        <f t="shared" si="81"/>
        <v>0</v>
      </c>
      <c r="AX101" s="40">
        <f t="shared" si="82"/>
        <v>0</v>
      </c>
      <c r="AY101" s="38" t="s">
        <v>69</v>
      </c>
      <c r="AZ101" s="38" t="s">
        <v>302</v>
      </c>
      <c r="BA101" s="31" t="s">
        <v>427</v>
      </c>
      <c r="BC101" s="40">
        <f t="shared" si="83"/>
        <v>0</v>
      </c>
      <c r="BD101" s="40">
        <f t="shared" si="84"/>
        <v>0</v>
      </c>
      <c r="BE101" s="40">
        <v>0</v>
      </c>
      <c r="BF101" s="40">
        <f>101</f>
        <v>101</v>
      </c>
      <c r="BH101" s="40">
        <f t="shared" si="85"/>
        <v>0</v>
      </c>
      <c r="BI101" s="40">
        <f t="shared" si="86"/>
        <v>0</v>
      </c>
      <c r="BJ101" s="40">
        <f t="shared" si="87"/>
        <v>0</v>
      </c>
      <c r="BK101" s="40"/>
      <c r="BL101" s="40">
        <v>766</v>
      </c>
    </row>
    <row r="102" spans="1:64" ht="15" customHeight="1">
      <c r="A102" s="9" t="s">
        <v>614</v>
      </c>
      <c r="B102" s="33" t="s">
        <v>324</v>
      </c>
      <c r="C102" s="61" t="s">
        <v>122</v>
      </c>
      <c r="D102" s="61"/>
      <c r="E102" s="61"/>
      <c r="F102" s="61"/>
      <c r="G102" s="33" t="s">
        <v>154</v>
      </c>
      <c r="H102" s="40">
        <v>1</v>
      </c>
      <c r="I102" s="40">
        <v>0</v>
      </c>
      <c r="J102" s="40">
        <f t="shared" si="66"/>
        <v>0</v>
      </c>
      <c r="K102" s="40">
        <f t="shared" si="67"/>
        <v>0</v>
      </c>
      <c r="L102" s="40">
        <f t="shared" si="68"/>
        <v>0</v>
      </c>
      <c r="M102" s="19" t="s">
        <v>216</v>
      </c>
      <c r="Z102" s="40">
        <f t="shared" si="69"/>
        <v>0</v>
      </c>
      <c r="AB102" s="40">
        <f t="shared" si="70"/>
        <v>0</v>
      </c>
      <c r="AC102" s="40">
        <f t="shared" si="71"/>
        <v>0</v>
      </c>
      <c r="AD102" s="40">
        <f t="shared" si="72"/>
        <v>0</v>
      </c>
      <c r="AE102" s="40">
        <f t="shared" si="73"/>
        <v>0</v>
      </c>
      <c r="AF102" s="40">
        <f t="shared" si="74"/>
        <v>0</v>
      </c>
      <c r="AG102" s="40">
        <f t="shared" si="75"/>
        <v>0</v>
      </c>
      <c r="AH102" s="40">
        <f t="shared" si="76"/>
        <v>0</v>
      </c>
      <c r="AI102" s="31" t="s">
        <v>391</v>
      </c>
      <c r="AJ102" s="40">
        <f t="shared" si="77"/>
        <v>0</v>
      </c>
      <c r="AK102" s="40">
        <f t="shared" si="78"/>
        <v>0</v>
      </c>
      <c r="AL102" s="40">
        <f t="shared" si="79"/>
        <v>0</v>
      </c>
      <c r="AN102" s="40">
        <v>21</v>
      </c>
      <c r="AO102" s="40">
        <f t="shared" si="88"/>
        <v>0</v>
      </c>
      <c r="AP102" s="40">
        <f t="shared" si="89"/>
        <v>0</v>
      </c>
      <c r="AQ102" s="38" t="s">
        <v>550</v>
      </c>
      <c r="AV102" s="40">
        <f t="shared" si="80"/>
        <v>0</v>
      </c>
      <c r="AW102" s="40">
        <f t="shared" si="81"/>
        <v>0</v>
      </c>
      <c r="AX102" s="40">
        <f t="shared" si="82"/>
        <v>0</v>
      </c>
      <c r="AY102" s="38" t="s">
        <v>69</v>
      </c>
      <c r="AZ102" s="38" t="s">
        <v>302</v>
      </c>
      <c r="BA102" s="31" t="s">
        <v>427</v>
      </c>
      <c r="BC102" s="40">
        <f t="shared" si="83"/>
        <v>0</v>
      </c>
      <c r="BD102" s="40">
        <f t="shared" si="84"/>
        <v>0</v>
      </c>
      <c r="BE102" s="40">
        <v>0</v>
      </c>
      <c r="BF102" s="40">
        <f>102</f>
        <v>102</v>
      </c>
      <c r="BH102" s="40">
        <f t="shared" si="85"/>
        <v>0</v>
      </c>
      <c r="BI102" s="40">
        <f t="shared" si="86"/>
        <v>0</v>
      </c>
      <c r="BJ102" s="40">
        <f t="shared" si="87"/>
        <v>0</v>
      </c>
      <c r="BK102" s="40"/>
      <c r="BL102" s="40">
        <v>766</v>
      </c>
    </row>
    <row r="103" spans="1:64" ht="15" customHeight="1">
      <c r="A103" s="9" t="s">
        <v>576</v>
      </c>
      <c r="B103" s="33" t="s">
        <v>489</v>
      </c>
      <c r="C103" s="61" t="s">
        <v>615</v>
      </c>
      <c r="D103" s="61"/>
      <c r="E103" s="61"/>
      <c r="F103" s="61"/>
      <c r="G103" s="33" t="s">
        <v>154</v>
      </c>
      <c r="H103" s="40">
        <v>1</v>
      </c>
      <c r="I103" s="40">
        <v>0</v>
      </c>
      <c r="J103" s="40">
        <f t="shared" si="66"/>
        <v>0</v>
      </c>
      <c r="K103" s="40">
        <f t="shared" si="67"/>
        <v>0</v>
      </c>
      <c r="L103" s="40">
        <f t="shared" si="68"/>
        <v>0</v>
      </c>
      <c r="M103" s="19" t="s">
        <v>216</v>
      </c>
      <c r="Z103" s="40">
        <f t="shared" si="69"/>
        <v>0</v>
      </c>
      <c r="AB103" s="40">
        <f t="shared" si="70"/>
        <v>0</v>
      </c>
      <c r="AC103" s="40">
        <f t="shared" si="71"/>
        <v>0</v>
      </c>
      <c r="AD103" s="40">
        <f t="shared" si="72"/>
        <v>0</v>
      </c>
      <c r="AE103" s="40">
        <f t="shared" si="73"/>
        <v>0</v>
      </c>
      <c r="AF103" s="40">
        <f t="shared" si="74"/>
        <v>0</v>
      </c>
      <c r="AG103" s="40">
        <f t="shared" si="75"/>
        <v>0</v>
      </c>
      <c r="AH103" s="40">
        <f t="shared" si="76"/>
        <v>0</v>
      </c>
      <c r="AI103" s="31" t="s">
        <v>391</v>
      </c>
      <c r="AJ103" s="40">
        <f t="shared" si="77"/>
        <v>0</v>
      </c>
      <c r="AK103" s="40">
        <f t="shared" si="78"/>
        <v>0</v>
      </c>
      <c r="AL103" s="40">
        <f t="shared" si="79"/>
        <v>0</v>
      </c>
      <c r="AN103" s="40">
        <v>21</v>
      </c>
      <c r="AO103" s="40">
        <f t="shared" si="88"/>
        <v>0</v>
      </c>
      <c r="AP103" s="40">
        <f t="shared" si="89"/>
        <v>0</v>
      </c>
      <c r="AQ103" s="38" t="s">
        <v>550</v>
      </c>
      <c r="AV103" s="40">
        <f t="shared" si="80"/>
        <v>0</v>
      </c>
      <c r="AW103" s="40">
        <f t="shared" si="81"/>
        <v>0</v>
      </c>
      <c r="AX103" s="40">
        <f t="shared" si="82"/>
        <v>0</v>
      </c>
      <c r="AY103" s="38" t="s">
        <v>69</v>
      </c>
      <c r="AZ103" s="38" t="s">
        <v>302</v>
      </c>
      <c r="BA103" s="31" t="s">
        <v>427</v>
      </c>
      <c r="BC103" s="40">
        <f t="shared" si="83"/>
        <v>0</v>
      </c>
      <c r="BD103" s="40">
        <f t="shared" si="84"/>
        <v>0</v>
      </c>
      <c r="BE103" s="40">
        <v>0</v>
      </c>
      <c r="BF103" s="40">
        <f>103</f>
        <v>103</v>
      </c>
      <c r="BH103" s="40">
        <f t="shared" si="85"/>
        <v>0</v>
      </c>
      <c r="BI103" s="40">
        <f t="shared" si="86"/>
        <v>0</v>
      </c>
      <c r="BJ103" s="40">
        <f t="shared" si="87"/>
        <v>0</v>
      </c>
      <c r="BK103" s="40"/>
      <c r="BL103" s="40">
        <v>766</v>
      </c>
    </row>
    <row r="104" spans="1:64" ht="15" customHeight="1">
      <c r="A104" s="9" t="s">
        <v>7</v>
      </c>
      <c r="B104" s="33" t="s">
        <v>495</v>
      </c>
      <c r="C104" s="61" t="s">
        <v>528</v>
      </c>
      <c r="D104" s="61"/>
      <c r="E104" s="61"/>
      <c r="F104" s="61"/>
      <c r="G104" s="33" t="s">
        <v>154</v>
      </c>
      <c r="H104" s="40">
        <v>1</v>
      </c>
      <c r="I104" s="40">
        <v>0</v>
      </c>
      <c r="J104" s="40">
        <f t="shared" si="66"/>
        <v>0</v>
      </c>
      <c r="K104" s="40">
        <f t="shared" si="67"/>
        <v>0</v>
      </c>
      <c r="L104" s="40">
        <f t="shared" si="68"/>
        <v>0</v>
      </c>
      <c r="M104" s="19" t="s">
        <v>325</v>
      </c>
      <c r="Z104" s="40">
        <f t="shared" si="69"/>
        <v>0</v>
      </c>
      <c r="AB104" s="40">
        <f t="shared" si="70"/>
        <v>0</v>
      </c>
      <c r="AC104" s="40">
        <f t="shared" si="71"/>
        <v>0</v>
      </c>
      <c r="AD104" s="40">
        <f t="shared" si="72"/>
        <v>0</v>
      </c>
      <c r="AE104" s="40">
        <f t="shared" si="73"/>
        <v>0</v>
      </c>
      <c r="AF104" s="40">
        <f t="shared" si="74"/>
        <v>0</v>
      </c>
      <c r="AG104" s="40">
        <f t="shared" si="75"/>
        <v>0</v>
      </c>
      <c r="AH104" s="40">
        <f t="shared" si="76"/>
        <v>0</v>
      </c>
      <c r="AI104" s="31" t="s">
        <v>391</v>
      </c>
      <c r="AJ104" s="40">
        <f t="shared" si="77"/>
        <v>0</v>
      </c>
      <c r="AK104" s="40">
        <f t="shared" si="78"/>
        <v>0</v>
      </c>
      <c r="AL104" s="40">
        <f t="shared" si="79"/>
        <v>0</v>
      </c>
      <c r="AN104" s="40">
        <v>21</v>
      </c>
      <c r="AO104" s="40">
        <f t="shared" si="88"/>
        <v>0</v>
      </c>
      <c r="AP104" s="40">
        <f t="shared" si="89"/>
        <v>0</v>
      </c>
      <c r="AQ104" s="38" t="s">
        <v>550</v>
      </c>
      <c r="AV104" s="40">
        <f t="shared" si="80"/>
        <v>0</v>
      </c>
      <c r="AW104" s="40">
        <f t="shared" si="81"/>
        <v>0</v>
      </c>
      <c r="AX104" s="40">
        <f t="shared" si="82"/>
        <v>0</v>
      </c>
      <c r="AY104" s="38" t="s">
        <v>69</v>
      </c>
      <c r="AZ104" s="38" t="s">
        <v>302</v>
      </c>
      <c r="BA104" s="31" t="s">
        <v>427</v>
      </c>
      <c r="BC104" s="40">
        <f t="shared" si="83"/>
        <v>0</v>
      </c>
      <c r="BD104" s="40">
        <f t="shared" si="84"/>
        <v>0</v>
      </c>
      <c r="BE104" s="40">
        <v>0</v>
      </c>
      <c r="BF104" s="40">
        <f>104</f>
        <v>104</v>
      </c>
      <c r="BH104" s="40">
        <f t="shared" si="85"/>
        <v>0</v>
      </c>
      <c r="BI104" s="40">
        <f t="shared" si="86"/>
        <v>0</v>
      </c>
      <c r="BJ104" s="40">
        <f t="shared" si="87"/>
        <v>0</v>
      </c>
      <c r="BK104" s="40"/>
      <c r="BL104" s="40">
        <v>766</v>
      </c>
    </row>
    <row r="105" spans="1:64" ht="15" customHeight="1">
      <c r="A105" s="9" t="s">
        <v>102</v>
      </c>
      <c r="B105" s="33" t="s">
        <v>301</v>
      </c>
      <c r="C105" s="61" t="s">
        <v>244</v>
      </c>
      <c r="D105" s="61"/>
      <c r="E105" s="61"/>
      <c r="F105" s="61"/>
      <c r="G105" s="33" t="s">
        <v>154</v>
      </c>
      <c r="H105" s="40">
        <v>2</v>
      </c>
      <c r="I105" s="40">
        <v>0</v>
      </c>
      <c r="J105" s="40">
        <f t="shared" si="66"/>
        <v>0</v>
      </c>
      <c r="K105" s="40">
        <f t="shared" si="67"/>
        <v>0</v>
      </c>
      <c r="L105" s="40">
        <f t="shared" si="68"/>
        <v>0</v>
      </c>
      <c r="M105" s="19" t="s">
        <v>216</v>
      </c>
      <c r="Z105" s="40">
        <f t="shared" si="69"/>
        <v>0</v>
      </c>
      <c r="AB105" s="40">
        <f t="shared" si="70"/>
        <v>0</v>
      </c>
      <c r="AC105" s="40">
        <f t="shared" si="71"/>
        <v>0</v>
      </c>
      <c r="AD105" s="40">
        <f t="shared" si="72"/>
        <v>0</v>
      </c>
      <c r="AE105" s="40">
        <f t="shared" si="73"/>
        <v>0</v>
      </c>
      <c r="AF105" s="40">
        <f t="shared" si="74"/>
        <v>0</v>
      </c>
      <c r="AG105" s="40">
        <f t="shared" si="75"/>
        <v>0</v>
      </c>
      <c r="AH105" s="40">
        <f t="shared" si="76"/>
        <v>0</v>
      </c>
      <c r="AI105" s="31" t="s">
        <v>391</v>
      </c>
      <c r="AJ105" s="40">
        <f t="shared" si="77"/>
        <v>0</v>
      </c>
      <c r="AK105" s="40">
        <f t="shared" si="78"/>
        <v>0</v>
      </c>
      <c r="AL105" s="40">
        <f t="shared" si="79"/>
        <v>0</v>
      </c>
      <c r="AN105" s="40">
        <v>21</v>
      </c>
      <c r="AO105" s="40">
        <f t="shared" si="88"/>
        <v>0</v>
      </c>
      <c r="AP105" s="40">
        <f t="shared" si="89"/>
        <v>0</v>
      </c>
      <c r="AQ105" s="38" t="s">
        <v>550</v>
      </c>
      <c r="AV105" s="40">
        <f t="shared" si="80"/>
        <v>0</v>
      </c>
      <c r="AW105" s="40">
        <f t="shared" si="81"/>
        <v>0</v>
      </c>
      <c r="AX105" s="40">
        <f t="shared" si="82"/>
        <v>0</v>
      </c>
      <c r="AY105" s="38" t="s">
        <v>69</v>
      </c>
      <c r="AZ105" s="38" t="s">
        <v>302</v>
      </c>
      <c r="BA105" s="31" t="s">
        <v>427</v>
      </c>
      <c r="BC105" s="40">
        <f t="shared" si="83"/>
        <v>0</v>
      </c>
      <c r="BD105" s="40">
        <f t="shared" si="84"/>
        <v>0</v>
      </c>
      <c r="BE105" s="40">
        <v>0</v>
      </c>
      <c r="BF105" s="40">
        <f>105</f>
        <v>105</v>
      </c>
      <c r="BH105" s="40">
        <f t="shared" si="85"/>
        <v>0</v>
      </c>
      <c r="BI105" s="40">
        <f t="shared" si="86"/>
        <v>0</v>
      </c>
      <c r="BJ105" s="40">
        <f t="shared" si="87"/>
        <v>0</v>
      </c>
      <c r="BK105" s="40"/>
      <c r="BL105" s="40">
        <v>766</v>
      </c>
    </row>
    <row r="106" spans="1:64" ht="15" customHeight="1">
      <c r="A106" s="9" t="s">
        <v>129</v>
      </c>
      <c r="B106" s="33" t="s">
        <v>156</v>
      </c>
      <c r="C106" s="61" t="s">
        <v>199</v>
      </c>
      <c r="D106" s="61"/>
      <c r="E106" s="61"/>
      <c r="F106" s="61"/>
      <c r="G106" s="33" t="s">
        <v>154</v>
      </c>
      <c r="H106" s="40">
        <v>2</v>
      </c>
      <c r="I106" s="40">
        <v>0</v>
      </c>
      <c r="J106" s="40">
        <f t="shared" si="66"/>
        <v>0</v>
      </c>
      <c r="K106" s="40">
        <f t="shared" si="67"/>
        <v>0</v>
      </c>
      <c r="L106" s="40">
        <f t="shared" si="68"/>
        <v>0</v>
      </c>
      <c r="M106" s="19" t="s">
        <v>216</v>
      </c>
      <c r="Z106" s="40">
        <f t="shared" si="69"/>
        <v>0</v>
      </c>
      <c r="AB106" s="40">
        <f t="shared" si="70"/>
        <v>0</v>
      </c>
      <c r="AC106" s="40">
        <f t="shared" si="71"/>
        <v>0</v>
      </c>
      <c r="AD106" s="40">
        <f t="shared" si="72"/>
        <v>0</v>
      </c>
      <c r="AE106" s="40">
        <f t="shared" si="73"/>
        <v>0</v>
      </c>
      <c r="AF106" s="40">
        <f t="shared" si="74"/>
        <v>0</v>
      </c>
      <c r="AG106" s="40">
        <f t="shared" si="75"/>
        <v>0</v>
      </c>
      <c r="AH106" s="40">
        <f t="shared" si="76"/>
        <v>0</v>
      </c>
      <c r="AI106" s="31" t="s">
        <v>391</v>
      </c>
      <c r="AJ106" s="40">
        <f t="shared" si="77"/>
        <v>0</v>
      </c>
      <c r="AK106" s="40">
        <f t="shared" si="78"/>
        <v>0</v>
      </c>
      <c r="AL106" s="40">
        <f t="shared" si="79"/>
        <v>0</v>
      </c>
      <c r="AN106" s="40">
        <v>21</v>
      </c>
      <c r="AO106" s="40">
        <f t="shared" si="88"/>
        <v>0</v>
      </c>
      <c r="AP106" s="40">
        <f t="shared" si="89"/>
        <v>0</v>
      </c>
      <c r="AQ106" s="38" t="s">
        <v>550</v>
      </c>
      <c r="AV106" s="40">
        <f t="shared" si="80"/>
        <v>0</v>
      </c>
      <c r="AW106" s="40">
        <f t="shared" si="81"/>
        <v>0</v>
      </c>
      <c r="AX106" s="40">
        <f t="shared" si="82"/>
        <v>0</v>
      </c>
      <c r="AY106" s="38" t="s">
        <v>69</v>
      </c>
      <c r="AZ106" s="38" t="s">
        <v>302</v>
      </c>
      <c r="BA106" s="31" t="s">
        <v>427</v>
      </c>
      <c r="BC106" s="40">
        <f t="shared" si="83"/>
        <v>0</v>
      </c>
      <c r="BD106" s="40">
        <f t="shared" si="84"/>
        <v>0</v>
      </c>
      <c r="BE106" s="40">
        <v>0</v>
      </c>
      <c r="BF106" s="40">
        <f>106</f>
        <v>106</v>
      </c>
      <c r="BH106" s="40">
        <f t="shared" si="85"/>
        <v>0</v>
      </c>
      <c r="BI106" s="40">
        <f t="shared" si="86"/>
        <v>0</v>
      </c>
      <c r="BJ106" s="40">
        <f t="shared" si="87"/>
        <v>0</v>
      </c>
      <c r="BK106" s="40"/>
      <c r="BL106" s="40">
        <v>766</v>
      </c>
    </row>
    <row r="107" spans="1:64" ht="15" customHeight="1">
      <c r="A107" s="9" t="s">
        <v>439</v>
      </c>
      <c r="B107" s="33" t="s">
        <v>405</v>
      </c>
      <c r="C107" s="61" t="s">
        <v>502</v>
      </c>
      <c r="D107" s="61"/>
      <c r="E107" s="61"/>
      <c r="F107" s="61"/>
      <c r="G107" s="33" t="s">
        <v>154</v>
      </c>
      <c r="H107" s="40">
        <v>2</v>
      </c>
      <c r="I107" s="40">
        <v>0</v>
      </c>
      <c r="J107" s="40">
        <f t="shared" si="66"/>
        <v>0</v>
      </c>
      <c r="K107" s="40">
        <f t="shared" si="67"/>
        <v>0</v>
      </c>
      <c r="L107" s="40">
        <f t="shared" si="68"/>
        <v>0</v>
      </c>
      <c r="M107" s="19" t="s">
        <v>216</v>
      </c>
      <c r="Z107" s="40">
        <f t="shared" si="69"/>
        <v>0</v>
      </c>
      <c r="AB107" s="40">
        <f t="shared" si="70"/>
        <v>0</v>
      </c>
      <c r="AC107" s="40">
        <f t="shared" si="71"/>
        <v>0</v>
      </c>
      <c r="AD107" s="40">
        <f t="shared" si="72"/>
        <v>0</v>
      </c>
      <c r="AE107" s="40">
        <f t="shared" si="73"/>
        <v>0</v>
      </c>
      <c r="AF107" s="40">
        <f t="shared" si="74"/>
        <v>0</v>
      </c>
      <c r="AG107" s="40">
        <f t="shared" si="75"/>
        <v>0</v>
      </c>
      <c r="AH107" s="40">
        <f t="shared" si="76"/>
        <v>0</v>
      </c>
      <c r="AI107" s="31" t="s">
        <v>391</v>
      </c>
      <c r="AJ107" s="40">
        <f t="shared" si="77"/>
        <v>0</v>
      </c>
      <c r="AK107" s="40">
        <f t="shared" si="78"/>
        <v>0</v>
      </c>
      <c r="AL107" s="40">
        <f t="shared" si="79"/>
        <v>0</v>
      </c>
      <c r="AN107" s="40">
        <v>21</v>
      </c>
      <c r="AO107" s="40">
        <f t="shared" si="88"/>
        <v>0</v>
      </c>
      <c r="AP107" s="40">
        <f t="shared" si="89"/>
        <v>0</v>
      </c>
      <c r="AQ107" s="38" t="s">
        <v>550</v>
      </c>
      <c r="AV107" s="40">
        <f t="shared" si="80"/>
        <v>0</v>
      </c>
      <c r="AW107" s="40">
        <f t="shared" si="81"/>
        <v>0</v>
      </c>
      <c r="AX107" s="40">
        <f t="shared" si="82"/>
        <v>0</v>
      </c>
      <c r="AY107" s="38" t="s">
        <v>69</v>
      </c>
      <c r="AZ107" s="38" t="s">
        <v>302</v>
      </c>
      <c r="BA107" s="31" t="s">
        <v>427</v>
      </c>
      <c r="BC107" s="40">
        <f t="shared" si="83"/>
        <v>0</v>
      </c>
      <c r="BD107" s="40">
        <f t="shared" si="84"/>
        <v>0</v>
      </c>
      <c r="BE107" s="40">
        <v>0</v>
      </c>
      <c r="BF107" s="40">
        <f>107</f>
        <v>107</v>
      </c>
      <c r="BH107" s="40">
        <f t="shared" si="85"/>
        <v>0</v>
      </c>
      <c r="BI107" s="40">
        <f t="shared" si="86"/>
        <v>0</v>
      </c>
      <c r="BJ107" s="40">
        <f t="shared" si="87"/>
        <v>0</v>
      </c>
      <c r="BK107" s="40"/>
      <c r="BL107" s="40">
        <v>766</v>
      </c>
    </row>
    <row r="108" spans="1:64" ht="15" customHeight="1">
      <c r="A108" s="9" t="s">
        <v>55</v>
      </c>
      <c r="B108" s="33" t="s">
        <v>357</v>
      </c>
      <c r="C108" s="61" t="s">
        <v>65</v>
      </c>
      <c r="D108" s="61"/>
      <c r="E108" s="61"/>
      <c r="F108" s="61"/>
      <c r="G108" s="33" t="s">
        <v>154</v>
      </c>
      <c r="H108" s="40">
        <v>1</v>
      </c>
      <c r="I108" s="40">
        <v>0</v>
      </c>
      <c r="J108" s="40">
        <f t="shared" si="66"/>
        <v>0</v>
      </c>
      <c r="K108" s="40">
        <f t="shared" si="67"/>
        <v>0</v>
      </c>
      <c r="L108" s="40">
        <f t="shared" si="68"/>
        <v>0</v>
      </c>
      <c r="M108" s="19" t="s">
        <v>216</v>
      </c>
      <c r="Z108" s="40">
        <f t="shared" si="69"/>
        <v>0</v>
      </c>
      <c r="AB108" s="40">
        <f t="shared" si="70"/>
        <v>0</v>
      </c>
      <c r="AC108" s="40">
        <f t="shared" si="71"/>
        <v>0</v>
      </c>
      <c r="AD108" s="40">
        <f t="shared" si="72"/>
        <v>0</v>
      </c>
      <c r="AE108" s="40">
        <f t="shared" si="73"/>
        <v>0</v>
      </c>
      <c r="AF108" s="40">
        <f t="shared" si="74"/>
        <v>0</v>
      </c>
      <c r="AG108" s="40">
        <f t="shared" si="75"/>
        <v>0</v>
      </c>
      <c r="AH108" s="40">
        <f t="shared" si="76"/>
        <v>0</v>
      </c>
      <c r="AI108" s="31" t="s">
        <v>391</v>
      </c>
      <c r="AJ108" s="40">
        <f t="shared" si="77"/>
        <v>0</v>
      </c>
      <c r="AK108" s="40">
        <f t="shared" si="78"/>
        <v>0</v>
      </c>
      <c r="AL108" s="40">
        <f t="shared" si="79"/>
        <v>0</v>
      </c>
      <c r="AN108" s="40">
        <v>21</v>
      </c>
      <c r="AO108" s="40">
        <f t="shared" si="88"/>
        <v>0</v>
      </c>
      <c r="AP108" s="40">
        <f t="shared" si="89"/>
        <v>0</v>
      </c>
      <c r="AQ108" s="38" t="s">
        <v>550</v>
      </c>
      <c r="AV108" s="40">
        <f t="shared" si="80"/>
        <v>0</v>
      </c>
      <c r="AW108" s="40">
        <f t="shared" si="81"/>
        <v>0</v>
      </c>
      <c r="AX108" s="40">
        <f t="shared" si="82"/>
        <v>0</v>
      </c>
      <c r="AY108" s="38" t="s">
        <v>69</v>
      </c>
      <c r="AZ108" s="38" t="s">
        <v>302</v>
      </c>
      <c r="BA108" s="31" t="s">
        <v>427</v>
      </c>
      <c r="BC108" s="40">
        <f t="shared" si="83"/>
        <v>0</v>
      </c>
      <c r="BD108" s="40">
        <f t="shared" si="84"/>
        <v>0</v>
      </c>
      <c r="BE108" s="40">
        <v>0</v>
      </c>
      <c r="BF108" s="40">
        <f>108</f>
        <v>108</v>
      </c>
      <c r="BH108" s="40">
        <f t="shared" si="85"/>
        <v>0</v>
      </c>
      <c r="BI108" s="40">
        <f t="shared" si="86"/>
        <v>0</v>
      </c>
      <c r="BJ108" s="40">
        <f t="shared" si="87"/>
        <v>0</v>
      </c>
      <c r="BK108" s="40"/>
      <c r="BL108" s="40">
        <v>766</v>
      </c>
    </row>
    <row r="109" spans="1:64" ht="15" customHeight="1">
      <c r="A109" s="9" t="s">
        <v>434</v>
      </c>
      <c r="B109" s="33" t="s">
        <v>479</v>
      </c>
      <c r="C109" s="61" t="s">
        <v>450</v>
      </c>
      <c r="D109" s="61"/>
      <c r="E109" s="61"/>
      <c r="F109" s="61"/>
      <c r="G109" s="33" t="s">
        <v>491</v>
      </c>
      <c r="H109" s="40">
        <v>1.02</v>
      </c>
      <c r="I109" s="40">
        <v>0</v>
      </c>
      <c r="J109" s="40">
        <f t="shared" si="66"/>
        <v>0</v>
      </c>
      <c r="K109" s="40">
        <f t="shared" si="67"/>
        <v>0</v>
      </c>
      <c r="L109" s="40">
        <f t="shared" si="68"/>
        <v>0</v>
      </c>
      <c r="M109" s="19" t="s">
        <v>216</v>
      </c>
      <c r="Z109" s="40">
        <f t="shared" si="69"/>
        <v>0</v>
      </c>
      <c r="AB109" s="40">
        <f t="shared" si="70"/>
        <v>0</v>
      </c>
      <c r="AC109" s="40">
        <f t="shared" si="71"/>
        <v>0</v>
      </c>
      <c r="AD109" s="40">
        <f t="shared" si="72"/>
        <v>0</v>
      </c>
      <c r="AE109" s="40">
        <f t="shared" si="73"/>
        <v>0</v>
      </c>
      <c r="AF109" s="40">
        <f t="shared" si="74"/>
        <v>0</v>
      </c>
      <c r="AG109" s="40">
        <f t="shared" si="75"/>
        <v>0</v>
      </c>
      <c r="AH109" s="40">
        <f t="shared" si="76"/>
        <v>0</v>
      </c>
      <c r="AI109" s="31" t="s">
        <v>391</v>
      </c>
      <c r="AJ109" s="40">
        <f t="shared" si="77"/>
        <v>0</v>
      </c>
      <c r="AK109" s="40">
        <f t="shared" si="78"/>
        <v>0</v>
      </c>
      <c r="AL109" s="40">
        <f t="shared" si="79"/>
        <v>0</v>
      </c>
      <c r="AN109" s="40">
        <v>21</v>
      </c>
      <c r="AO109" s="40">
        <f>I109*0</f>
        <v>0</v>
      </c>
      <c r="AP109" s="40">
        <f>I109*(1-0)</f>
        <v>0</v>
      </c>
      <c r="AQ109" s="38" t="s">
        <v>300</v>
      </c>
      <c r="AV109" s="40">
        <f t="shared" si="80"/>
        <v>0</v>
      </c>
      <c r="AW109" s="40">
        <f t="shared" si="81"/>
        <v>0</v>
      </c>
      <c r="AX109" s="40">
        <f t="shared" si="82"/>
        <v>0</v>
      </c>
      <c r="AY109" s="38" t="s">
        <v>69</v>
      </c>
      <c r="AZ109" s="38" t="s">
        <v>302</v>
      </c>
      <c r="BA109" s="31" t="s">
        <v>427</v>
      </c>
      <c r="BC109" s="40">
        <f t="shared" si="83"/>
        <v>0</v>
      </c>
      <c r="BD109" s="40">
        <f t="shared" si="84"/>
        <v>0</v>
      </c>
      <c r="BE109" s="40">
        <v>0</v>
      </c>
      <c r="BF109" s="40">
        <f>109</f>
        <v>109</v>
      </c>
      <c r="BH109" s="40">
        <f t="shared" si="85"/>
        <v>0</v>
      </c>
      <c r="BI109" s="40">
        <f t="shared" si="86"/>
        <v>0</v>
      </c>
      <c r="BJ109" s="40">
        <f t="shared" si="87"/>
        <v>0</v>
      </c>
      <c r="BK109" s="40"/>
      <c r="BL109" s="40">
        <v>766</v>
      </c>
    </row>
    <row r="110" spans="1:47" ht="15" customHeight="1">
      <c r="A110" s="12" t="s">
        <v>391</v>
      </c>
      <c r="B110" s="36" t="s">
        <v>606</v>
      </c>
      <c r="C110" s="76" t="s">
        <v>492</v>
      </c>
      <c r="D110" s="76"/>
      <c r="E110" s="76"/>
      <c r="F110" s="76"/>
      <c r="G110" s="22" t="s">
        <v>513</v>
      </c>
      <c r="H110" s="22" t="s">
        <v>513</v>
      </c>
      <c r="I110" s="22" t="s">
        <v>513</v>
      </c>
      <c r="J110" s="17">
        <f>SUM(J111:J117)</f>
        <v>0</v>
      </c>
      <c r="K110" s="17">
        <f>SUM(K111:K117)</f>
        <v>0</v>
      </c>
      <c r="L110" s="17">
        <f>SUM(L111:L117)</f>
        <v>0</v>
      </c>
      <c r="M110" s="51" t="s">
        <v>391</v>
      </c>
      <c r="AI110" s="31" t="s">
        <v>391</v>
      </c>
      <c r="AS110" s="17">
        <f>SUM(AJ111:AJ117)</f>
        <v>0</v>
      </c>
      <c r="AT110" s="17">
        <f>SUM(AK111:AK117)</f>
        <v>0</v>
      </c>
      <c r="AU110" s="17">
        <f>SUM(AL111:AL117)</f>
        <v>0</v>
      </c>
    </row>
    <row r="111" spans="1:64" ht="15" customHeight="1">
      <c r="A111" s="9" t="s">
        <v>348</v>
      </c>
      <c r="B111" s="33" t="s">
        <v>315</v>
      </c>
      <c r="C111" s="61" t="s">
        <v>286</v>
      </c>
      <c r="D111" s="61"/>
      <c r="E111" s="61"/>
      <c r="F111" s="61"/>
      <c r="G111" s="33" t="s">
        <v>543</v>
      </c>
      <c r="H111" s="40">
        <v>3.148</v>
      </c>
      <c r="I111" s="40">
        <v>0</v>
      </c>
      <c r="J111" s="40">
        <f>H111*AO111</f>
        <v>0</v>
      </c>
      <c r="K111" s="40">
        <f>H111*AP111</f>
        <v>0</v>
      </c>
      <c r="L111" s="40">
        <f>H111*I111</f>
        <v>0</v>
      </c>
      <c r="M111" s="19" t="s">
        <v>216</v>
      </c>
      <c r="Z111" s="40">
        <f>IF(AQ111="5",BJ111,0)</f>
        <v>0</v>
      </c>
      <c r="AB111" s="40">
        <f>IF(AQ111="1",BH111,0)</f>
        <v>0</v>
      </c>
      <c r="AC111" s="40">
        <f>IF(AQ111="1",BI111,0)</f>
        <v>0</v>
      </c>
      <c r="AD111" s="40">
        <f>IF(AQ111="7",BH111,0)</f>
        <v>0</v>
      </c>
      <c r="AE111" s="40">
        <f>IF(AQ111="7",BI111,0)</f>
        <v>0</v>
      </c>
      <c r="AF111" s="40">
        <f>IF(AQ111="2",BH111,0)</f>
        <v>0</v>
      </c>
      <c r="AG111" s="40">
        <f>IF(AQ111="2",BI111,0)</f>
        <v>0</v>
      </c>
      <c r="AH111" s="40">
        <f>IF(AQ111="0",BJ111,0)</f>
        <v>0</v>
      </c>
      <c r="AI111" s="31" t="s">
        <v>391</v>
      </c>
      <c r="AJ111" s="40">
        <f>IF(AN111=0,L111,0)</f>
        <v>0</v>
      </c>
      <c r="AK111" s="40">
        <f>IF(AN111=15,L111,0)</f>
        <v>0</v>
      </c>
      <c r="AL111" s="40">
        <f>IF(AN111=21,L111,0)</f>
        <v>0</v>
      </c>
      <c r="AN111" s="40">
        <v>21</v>
      </c>
      <c r="AO111" s="40">
        <f>I111*0</f>
        <v>0</v>
      </c>
      <c r="AP111" s="40">
        <f>I111*(1-0)</f>
        <v>0</v>
      </c>
      <c r="AQ111" s="38" t="s">
        <v>550</v>
      </c>
      <c r="AV111" s="40">
        <f>AW111+AX111</f>
        <v>0</v>
      </c>
      <c r="AW111" s="40">
        <f>H111*AO111</f>
        <v>0</v>
      </c>
      <c r="AX111" s="40">
        <f>H111*AP111</f>
        <v>0</v>
      </c>
      <c r="AY111" s="38" t="s">
        <v>563</v>
      </c>
      <c r="AZ111" s="38" t="s">
        <v>150</v>
      </c>
      <c r="BA111" s="31" t="s">
        <v>427</v>
      </c>
      <c r="BC111" s="40">
        <f>AW111+AX111</f>
        <v>0</v>
      </c>
      <c r="BD111" s="40">
        <f>I111/(100-BE111)*100</f>
        <v>0</v>
      </c>
      <c r="BE111" s="40">
        <v>0</v>
      </c>
      <c r="BF111" s="40">
        <f>111</f>
        <v>111</v>
      </c>
      <c r="BH111" s="40">
        <f>H111*AO111</f>
        <v>0</v>
      </c>
      <c r="BI111" s="40">
        <f>H111*AP111</f>
        <v>0</v>
      </c>
      <c r="BJ111" s="40">
        <f>H111*I111</f>
        <v>0</v>
      </c>
      <c r="BK111" s="40"/>
      <c r="BL111" s="40">
        <v>771</v>
      </c>
    </row>
    <row r="112" spans="1:13" ht="15" customHeight="1">
      <c r="A112" s="55"/>
      <c r="C112" s="14" t="s">
        <v>441</v>
      </c>
      <c r="F112" s="14" t="s">
        <v>391</v>
      </c>
      <c r="H112" s="45">
        <v>3.148</v>
      </c>
      <c r="M112" s="18"/>
    </row>
    <row r="113" spans="1:64" ht="15" customHeight="1">
      <c r="A113" s="9" t="s">
        <v>556</v>
      </c>
      <c r="B113" s="33" t="s">
        <v>4</v>
      </c>
      <c r="C113" s="61" t="s">
        <v>20</v>
      </c>
      <c r="D113" s="61"/>
      <c r="E113" s="61"/>
      <c r="F113" s="61"/>
      <c r="G113" s="33" t="s">
        <v>543</v>
      </c>
      <c r="H113" s="40">
        <v>3.148</v>
      </c>
      <c r="I113" s="40">
        <v>0</v>
      </c>
      <c r="J113" s="40">
        <f>H113*AO113</f>
        <v>0</v>
      </c>
      <c r="K113" s="40">
        <f>H113*AP113</f>
        <v>0</v>
      </c>
      <c r="L113" s="40">
        <f>H113*I113</f>
        <v>0</v>
      </c>
      <c r="M113" s="19" t="s">
        <v>216</v>
      </c>
      <c r="Z113" s="40">
        <f>IF(AQ113="5",BJ113,0)</f>
        <v>0</v>
      </c>
      <c r="AB113" s="40">
        <f>IF(AQ113="1",BH113,0)</f>
        <v>0</v>
      </c>
      <c r="AC113" s="40">
        <f>IF(AQ113="1",BI113,0)</f>
        <v>0</v>
      </c>
      <c r="AD113" s="40">
        <f>IF(AQ113="7",BH113,0)</f>
        <v>0</v>
      </c>
      <c r="AE113" s="40">
        <f>IF(AQ113="7",BI113,0)</f>
        <v>0</v>
      </c>
      <c r="AF113" s="40">
        <f>IF(AQ113="2",BH113,0)</f>
        <v>0</v>
      </c>
      <c r="AG113" s="40">
        <f>IF(AQ113="2",BI113,0)</f>
        <v>0</v>
      </c>
      <c r="AH113" s="40">
        <f>IF(AQ113="0",BJ113,0)</f>
        <v>0</v>
      </c>
      <c r="AI113" s="31" t="s">
        <v>391</v>
      </c>
      <c r="AJ113" s="40">
        <f>IF(AN113=0,L113,0)</f>
        <v>0</v>
      </c>
      <c r="AK113" s="40">
        <f>IF(AN113=15,L113,0)</f>
        <v>0</v>
      </c>
      <c r="AL113" s="40">
        <f>IF(AN113=21,L113,0)</f>
        <v>0</v>
      </c>
      <c r="AN113" s="40">
        <v>21</v>
      </c>
      <c r="AO113" s="40">
        <f>I113*0</f>
        <v>0</v>
      </c>
      <c r="AP113" s="40">
        <f>I113*(1-0)</f>
        <v>0</v>
      </c>
      <c r="AQ113" s="38" t="s">
        <v>550</v>
      </c>
      <c r="AV113" s="40">
        <f>AW113+AX113</f>
        <v>0</v>
      </c>
      <c r="AW113" s="40">
        <f>H113*AO113</f>
        <v>0</v>
      </c>
      <c r="AX113" s="40">
        <f>H113*AP113</f>
        <v>0</v>
      </c>
      <c r="AY113" s="38" t="s">
        <v>563</v>
      </c>
      <c r="AZ113" s="38" t="s">
        <v>150</v>
      </c>
      <c r="BA113" s="31" t="s">
        <v>427</v>
      </c>
      <c r="BC113" s="40">
        <f>AW113+AX113</f>
        <v>0</v>
      </c>
      <c r="BD113" s="40">
        <f>I113/(100-BE113)*100</f>
        <v>0</v>
      </c>
      <c r="BE113" s="40">
        <v>0</v>
      </c>
      <c r="BF113" s="40">
        <f>113</f>
        <v>113</v>
      </c>
      <c r="BH113" s="40">
        <f>H113*AO113</f>
        <v>0</v>
      </c>
      <c r="BI113" s="40">
        <f>H113*AP113</f>
        <v>0</v>
      </c>
      <c r="BJ113" s="40">
        <f>H113*I113</f>
        <v>0</v>
      </c>
      <c r="BK113" s="40"/>
      <c r="BL113" s="40">
        <v>771</v>
      </c>
    </row>
    <row r="114" spans="1:64" ht="15" customHeight="1">
      <c r="A114" s="9" t="s">
        <v>509</v>
      </c>
      <c r="B114" s="33" t="s">
        <v>66</v>
      </c>
      <c r="C114" s="61" t="s">
        <v>177</v>
      </c>
      <c r="D114" s="61"/>
      <c r="E114" s="61"/>
      <c r="F114" s="61"/>
      <c r="G114" s="33" t="s">
        <v>543</v>
      </c>
      <c r="H114" s="40">
        <v>3.148</v>
      </c>
      <c r="I114" s="40">
        <v>0</v>
      </c>
      <c r="J114" s="40">
        <f>H114*AO114</f>
        <v>0</v>
      </c>
      <c r="K114" s="40">
        <f>H114*AP114</f>
        <v>0</v>
      </c>
      <c r="L114" s="40">
        <f>H114*I114</f>
        <v>0</v>
      </c>
      <c r="M114" s="19" t="s">
        <v>216</v>
      </c>
      <c r="Z114" s="40">
        <f>IF(AQ114="5",BJ114,0)</f>
        <v>0</v>
      </c>
      <c r="AB114" s="40">
        <f>IF(AQ114="1",BH114,0)</f>
        <v>0</v>
      </c>
      <c r="AC114" s="40">
        <f>IF(AQ114="1",BI114,0)</f>
        <v>0</v>
      </c>
      <c r="AD114" s="40">
        <f>IF(AQ114="7",BH114,0)</f>
        <v>0</v>
      </c>
      <c r="AE114" s="40">
        <f>IF(AQ114="7",BI114,0)</f>
        <v>0</v>
      </c>
      <c r="AF114" s="40">
        <f>IF(AQ114="2",BH114,0)</f>
        <v>0</v>
      </c>
      <c r="AG114" s="40">
        <f>IF(AQ114="2",BI114,0)</f>
        <v>0</v>
      </c>
      <c r="AH114" s="40">
        <f>IF(AQ114="0",BJ114,0)</f>
        <v>0</v>
      </c>
      <c r="AI114" s="31" t="s">
        <v>391</v>
      </c>
      <c r="AJ114" s="40">
        <f>IF(AN114=0,L114,0)</f>
        <v>0</v>
      </c>
      <c r="AK114" s="40">
        <f>IF(AN114=15,L114,0)</f>
        <v>0</v>
      </c>
      <c r="AL114" s="40">
        <f>IF(AN114=21,L114,0)</f>
        <v>0</v>
      </c>
      <c r="AN114" s="40">
        <v>21</v>
      </c>
      <c r="AO114" s="40">
        <f>I114*0.159916899082291</f>
        <v>0</v>
      </c>
      <c r="AP114" s="40">
        <f>I114*(1-0.159916899082291)</f>
        <v>0</v>
      </c>
      <c r="AQ114" s="38" t="s">
        <v>550</v>
      </c>
      <c r="AV114" s="40">
        <f>AW114+AX114</f>
        <v>0</v>
      </c>
      <c r="AW114" s="40">
        <f>H114*AO114</f>
        <v>0</v>
      </c>
      <c r="AX114" s="40">
        <f>H114*AP114</f>
        <v>0</v>
      </c>
      <c r="AY114" s="38" t="s">
        <v>563</v>
      </c>
      <c r="AZ114" s="38" t="s">
        <v>150</v>
      </c>
      <c r="BA114" s="31" t="s">
        <v>427</v>
      </c>
      <c r="BC114" s="40">
        <f>AW114+AX114</f>
        <v>0</v>
      </c>
      <c r="BD114" s="40">
        <f>I114/(100-BE114)*100</f>
        <v>0</v>
      </c>
      <c r="BE114" s="40">
        <v>0</v>
      </c>
      <c r="BF114" s="40">
        <f>114</f>
        <v>114</v>
      </c>
      <c r="BH114" s="40">
        <f>H114*AO114</f>
        <v>0</v>
      </c>
      <c r="BI114" s="40">
        <f>H114*AP114</f>
        <v>0</v>
      </c>
      <c r="BJ114" s="40">
        <f>H114*I114</f>
        <v>0</v>
      </c>
      <c r="BK114" s="40"/>
      <c r="BL114" s="40">
        <v>771</v>
      </c>
    </row>
    <row r="115" spans="1:64" ht="15" customHeight="1">
      <c r="A115" s="9" t="s">
        <v>380</v>
      </c>
      <c r="B115" s="33" t="s">
        <v>540</v>
      </c>
      <c r="C115" s="61" t="s">
        <v>76</v>
      </c>
      <c r="D115" s="61"/>
      <c r="E115" s="61"/>
      <c r="F115" s="61"/>
      <c r="G115" s="33" t="s">
        <v>543</v>
      </c>
      <c r="H115" s="40">
        <v>3.211</v>
      </c>
      <c r="I115" s="40">
        <v>0</v>
      </c>
      <c r="J115" s="40">
        <f>H115*AO115</f>
        <v>0</v>
      </c>
      <c r="K115" s="40">
        <f>H115*AP115</f>
        <v>0</v>
      </c>
      <c r="L115" s="40">
        <f>H115*I115</f>
        <v>0</v>
      </c>
      <c r="M115" s="19" t="s">
        <v>216</v>
      </c>
      <c r="Z115" s="40">
        <f>IF(AQ115="5",BJ115,0)</f>
        <v>0</v>
      </c>
      <c r="AB115" s="40">
        <f>IF(AQ115="1",BH115,0)</f>
        <v>0</v>
      </c>
      <c r="AC115" s="40">
        <f>IF(AQ115="1",BI115,0)</f>
        <v>0</v>
      </c>
      <c r="AD115" s="40">
        <f>IF(AQ115="7",BH115,0)</f>
        <v>0</v>
      </c>
      <c r="AE115" s="40">
        <f>IF(AQ115="7",BI115,0)</f>
        <v>0</v>
      </c>
      <c r="AF115" s="40">
        <f>IF(AQ115="2",BH115,0)</f>
        <v>0</v>
      </c>
      <c r="AG115" s="40">
        <f>IF(AQ115="2",BI115,0)</f>
        <v>0</v>
      </c>
      <c r="AH115" s="40">
        <f>IF(AQ115="0",BJ115,0)</f>
        <v>0</v>
      </c>
      <c r="AI115" s="31" t="s">
        <v>391</v>
      </c>
      <c r="AJ115" s="40">
        <f>IF(AN115=0,L115,0)</f>
        <v>0</v>
      </c>
      <c r="AK115" s="40">
        <f>IF(AN115=15,L115,0)</f>
        <v>0</v>
      </c>
      <c r="AL115" s="40">
        <f>IF(AN115=21,L115,0)</f>
        <v>0</v>
      </c>
      <c r="AN115" s="40">
        <v>21</v>
      </c>
      <c r="AO115" s="40">
        <f>I115*1</f>
        <v>0</v>
      </c>
      <c r="AP115" s="40">
        <f>I115*(1-1)</f>
        <v>0</v>
      </c>
      <c r="AQ115" s="38" t="s">
        <v>550</v>
      </c>
      <c r="AV115" s="40">
        <f>AW115+AX115</f>
        <v>0</v>
      </c>
      <c r="AW115" s="40">
        <f>H115*AO115</f>
        <v>0</v>
      </c>
      <c r="AX115" s="40">
        <f>H115*AP115</f>
        <v>0</v>
      </c>
      <c r="AY115" s="38" t="s">
        <v>563</v>
      </c>
      <c r="AZ115" s="38" t="s">
        <v>150</v>
      </c>
      <c r="BA115" s="31" t="s">
        <v>427</v>
      </c>
      <c r="BC115" s="40">
        <f>AW115+AX115</f>
        <v>0</v>
      </c>
      <c r="BD115" s="40">
        <f>I115/(100-BE115)*100</f>
        <v>0</v>
      </c>
      <c r="BE115" s="40">
        <v>0</v>
      </c>
      <c r="BF115" s="40">
        <f>115</f>
        <v>115</v>
      </c>
      <c r="BH115" s="40">
        <f>H115*AO115</f>
        <v>0</v>
      </c>
      <c r="BI115" s="40">
        <f>H115*AP115</f>
        <v>0</v>
      </c>
      <c r="BJ115" s="40">
        <f>H115*I115</f>
        <v>0</v>
      </c>
      <c r="BK115" s="40"/>
      <c r="BL115" s="40">
        <v>771</v>
      </c>
    </row>
    <row r="116" spans="1:13" ht="15" customHeight="1">
      <c r="A116" s="55"/>
      <c r="C116" s="14" t="s">
        <v>396</v>
      </c>
      <c r="F116" s="14" t="s">
        <v>391</v>
      </c>
      <c r="H116" s="45">
        <v>3.2110000000000003</v>
      </c>
      <c r="M116" s="18"/>
    </row>
    <row r="117" spans="1:64" ht="15" customHeight="1">
      <c r="A117" s="9" t="s">
        <v>289</v>
      </c>
      <c r="B117" s="33" t="s">
        <v>341</v>
      </c>
      <c r="C117" s="61" t="s">
        <v>431</v>
      </c>
      <c r="D117" s="61"/>
      <c r="E117" s="61"/>
      <c r="F117" s="61"/>
      <c r="G117" s="33" t="s">
        <v>491</v>
      </c>
      <c r="H117" s="40">
        <v>6.3</v>
      </c>
      <c r="I117" s="40">
        <v>0</v>
      </c>
      <c r="J117" s="40">
        <f>H117*AO117</f>
        <v>0</v>
      </c>
      <c r="K117" s="40">
        <f>H117*AP117</f>
        <v>0</v>
      </c>
      <c r="L117" s="40">
        <f>H117*I117</f>
        <v>0</v>
      </c>
      <c r="M117" s="19" t="s">
        <v>216</v>
      </c>
      <c r="Z117" s="40">
        <f>IF(AQ117="5",BJ117,0)</f>
        <v>0</v>
      </c>
      <c r="AB117" s="40">
        <f>IF(AQ117="1",BH117,0)</f>
        <v>0</v>
      </c>
      <c r="AC117" s="40">
        <f>IF(AQ117="1",BI117,0)</f>
        <v>0</v>
      </c>
      <c r="AD117" s="40">
        <f>IF(AQ117="7",BH117,0)</f>
        <v>0</v>
      </c>
      <c r="AE117" s="40">
        <f>IF(AQ117="7",BI117,0)</f>
        <v>0</v>
      </c>
      <c r="AF117" s="40">
        <f>IF(AQ117="2",BH117,0)</f>
        <v>0</v>
      </c>
      <c r="AG117" s="40">
        <f>IF(AQ117="2",BI117,0)</f>
        <v>0</v>
      </c>
      <c r="AH117" s="40">
        <f>IF(AQ117="0",BJ117,0)</f>
        <v>0</v>
      </c>
      <c r="AI117" s="31" t="s">
        <v>391</v>
      </c>
      <c r="AJ117" s="40">
        <f>IF(AN117=0,L117,0)</f>
        <v>0</v>
      </c>
      <c r="AK117" s="40">
        <f>IF(AN117=15,L117,0)</f>
        <v>0</v>
      </c>
      <c r="AL117" s="40">
        <f>IF(AN117=21,L117,0)</f>
        <v>0</v>
      </c>
      <c r="AN117" s="40">
        <v>21</v>
      </c>
      <c r="AO117" s="40">
        <f>I117*0</f>
        <v>0</v>
      </c>
      <c r="AP117" s="40">
        <f>I117*(1-0)</f>
        <v>0</v>
      </c>
      <c r="AQ117" s="38" t="s">
        <v>300</v>
      </c>
      <c r="AV117" s="40">
        <f>AW117+AX117</f>
        <v>0</v>
      </c>
      <c r="AW117" s="40">
        <f>H117*AO117</f>
        <v>0</v>
      </c>
      <c r="AX117" s="40">
        <f>H117*AP117</f>
        <v>0</v>
      </c>
      <c r="AY117" s="38" t="s">
        <v>563</v>
      </c>
      <c r="AZ117" s="38" t="s">
        <v>150</v>
      </c>
      <c r="BA117" s="31" t="s">
        <v>427</v>
      </c>
      <c r="BC117" s="40">
        <f>AW117+AX117</f>
        <v>0</v>
      </c>
      <c r="BD117" s="40">
        <f>I117/(100-BE117)*100</f>
        <v>0</v>
      </c>
      <c r="BE117" s="40">
        <v>0</v>
      </c>
      <c r="BF117" s="40">
        <f>117</f>
        <v>117</v>
      </c>
      <c r="BH117" s="40">
        <f>H117*AO117</f>
        <v>0</v>
      </c>
      <c r="BI117" s="40">
        <f>H117*AP117</f>
        <v>0</v>
      </c>
      <c r="BJ117" s="40">
        <f>H117*I117</f>
        <v>0</v>
      </c>
      <c r="BK117" s="40"/>
      <c r="BL117" s="40">
        <v>771</v>
      </c>
    </row>
    <row r="118" spans="1:47" ht="15" customHeight="1">
      <c r="A118" s="12" t="s">
        <v>391</v>
      </c>
      <c r="B118" s="36" t="s">
        <v>440</v>
      </c>
      <c r="C118" s="76" t="s">
        <v>377</v>
      </c>
      <c r="D118" s="76"/>
      <c r="E118" s="76"/>
      <c r="F118" s="76"/>
      <c r="G118" s="22" t="s">
        <v>513</v>
      </c>
      <c r="H118" s="22" t="s">
        <v>513</v>
      </c>
      <c r="I118" s="22" t="s">
        <v>513</v>
      </c>
      <c r="J118" s="17">
        <f>SUM(J119:J127)</f>
        <v>0</v>
      </c>
      <c r="K118" s="17">
        <f>SUM(K119:K127)</f>
        <v>0</v>
      </c>
      <c r="L118" s="17">
        <f>SUM(L119:L127)</f>
        <v>0</v>
      </c>
      <c r="M118" s="51" t="s">
        <v>391</v>
      </c>
      <c r="AI118" s="31" t="s">
        <v>391</v>
      </c>
      <c r="AS118" s="17">
        <f>SUM(AJ119:AJ127)</f>
        <v>0</v>
      </c>
      <c r="AT118" s="17">
        <f>SUM(AK119:AK127)</f>
        <v>0</v>
      </c>
      <c r="AU118" s="17">
        <f>SUM(AL119:AL127)</f>
        <v>0</v>
      </c>
    </row>
    <row r="119" spans="1:64" ht="15" customHeight="1">
      <c r="A119" s="9" t="s">
        <v>139</v>
      </c>
      <c r="B119" s="33" t="s">
        <v>369</v>
      </c>
      <c r="C119" s="61" t="s">
        <v>533</v>
      </c>
      <c r="D119" s="61"/>
      <c r="E119" s="61"/>
      <c r="F119" s="61"/>
      <c r="G119" s="33" t="s">
        <v>543</v>
      </c>
      <c r="H119" s="40">
        <v>37.657</v>
      </c>
      <c r="I119" s="40">
        <v>0</v>
      </c>
      <c r="J119" s="40">
        <f>H119*AO119</f>
        <v>0</v>
      </c>
      <c r="K119" s="40">
        <f>H119*AP119</f>
        <v>0</v>
      </c>
      <c r="L119" s="40">
        <f>H119*I119</f>
        <v>0</v>
      </c>
      <c r="M119" s="19" t="s">
        <v>216</v>
      </c>
      <c r="Z119" s="40">
        <f>IF(AQ119="5",BJ119,0)</f>
        <v>0</v>
      </c>
      <c r="AB119" s="40">
        <f>IF(AQ119="1",BH119,0)</f>
        <v>0</v>
      </c>
      <c r="AC119" s="40">
        <f>IF(AQ119="1",BI119,0)</f>
        <v>0</v>
      </c>
      <c r="AD119" s="40">
        <f>IF(AQ119="7",BH119,0)</f>
        <v>0</v>
      </c>
      <c r="AE119" s="40">
        <f>IF(AQ119="7",BI119,0)</f>
        <v>0</v>
      </c>
      <c r="AF119" s="40">
        <f>IF(AQ119="2",BH119,0)</f>
        <v>0</v>
      </c>
      <c r="AG119" s="40">
        <f>IF(AQ119="2",BI119,0)</f>
        <v>0</v>
      </c>
      <c r="AH119" s="40">
        <f>IF(AQ119="0",BJ119,0)</f>
        <v>0</v>
      </c>
      <c r="AI119" s="31" t="s">
        <v>391</v>
      </c>
      <c r="AJ119" s="40">
        <f>IF(AN119=0,L119,0)</f>
        <v>0</v>
      </c>
      <c r="AK119" s="40">
        <f>IF(AN119=15,L119,0)</f>
        <v>0</v>
      </c>
      <c r="AL119" s="40">
        <f>IF(AN119=21,L119,0)</f>
        <v>0</v>
      </c>
      <c r="AN119" s="40">
        <v>21</v>
      </c>
      <c r="AO119" s="40">
        <f>I119*0</f>
        <v>0</v>
      </c>
      <c r="AP119" s="40">
        <f>I119*(1-0)</f>
        <v>0</v>
      </c>
      <c r="AQ119" s="38" t="s">
        <v>550</v>
      </c>
      <c r="AV119" s="40">
        <f>AW119+AX119</f>
        <v>0</v>
      </c>
      <c r="AW119" s="40">
        <f>H119*AO119</f>
        <v>0</v>
      </c>
      <c r="AX119" s="40">
        <f>H119*AP119</f>
        <v>0</v>
      </c>
      <c r="AY119" s="38" t="s">
        <v>123</v>
      </c>
      <c r="AZ119" s="38" t="s">
        <v>150</v>
      </c>
      <c r="BA119" s="31" t="s">
        <v>427</v>
      </c>
      <c r="BC119" s="40">
        <f>AW119+AX119</f>
        <v>0</v>
      </c>
      <c r="BD119" s="40">
        <f>I119/(100-BE119)*100</f>
        <v>0</v>
      </c>
      <c r="BE119" s="40">
        <v>0</v>
      </c>
      <c r="BF119" s="40">
        <f>119</f>
        <v>119</v>
      </c>
      <c r="BH119" s="40">
        <f>H119*AO119</f>
        <v>0</v>
      </c>
      <c r="BI119" s="40">
        <f>H119*AP119</f>
        <v>0</v>
      </c>
      <c r="BJ119" s="40">
        <f>H119*I119</f>
        <v>0</v>
      </c>
      <c r="BK119" s="40"/>
      <c r="BL119" s="40">
        <v>776</v>
      </c>
    </row>
    <row r="120" spans="1:13" ht="15" customHeight="1">
      <c r="A120" s="55"/>
      <c r="C120" s="14" t="s">
        <v>184</v>
      </c>
      <c r="F120" s="14" t="s">
        <v>391</v>
      </c>
      <c r="H120" s="45">
        <v>37.657000000000004</v>
      </c>
      <c r="M120" s="18"/>
    </row>
    <row r="121" spans="1:64" ht="15" customHeight="1">
      <c r="A121" s="9" t="s">
        <v>54</v>
      </c>
      <c r="B121" s="33" t="s">
        <v>372</v>
      </c>
      <c r="C121" s="61" t="s">
        <v>361</v>
      </c>
      <c r="D121" s="61"/>
      <c r="E121" s="61"/>
      <c r="F121" s="61"/>
      <c r="G121" s="33" t="s">
        <v>469</v>
      </c>
      <c r="H121" s="40">
        <v>37.76</v>
      </c>
      <c r="I121" s="40">
        <v>0</v>
      </c>
      <c r="J121" s="40">
        <f>H121*AO121</f>
        <v>0</v>
      </c>
      <c r="K121" s="40">
        <f>H121*AP121</f>
        <v>0</v>
      </c>
      <c r="L121" s="40">
        <f>H121*I121</f>
        <v>0</v>
      </c>
      <c r="M121" s="19" t="s">
        <v>216</v>
      </c>
      <c r="Z121" s="40">
        <f>IF(AQ121="5",BJ121,0)</f>
        <v>0</v>
      </c>
      <c r="AB121" s="40">
        <f>IF(AQ121="1",BH121,0)</f>
        <v>0</v>
      </c>
      <c r="AC121" s="40">
        <f>IF(AQ121="1",BI121,0)</f>
        <v>0</v>
      </c>
      <c r="AD121" s="40">
        <f>IF(AQ121="7",BH121,0)</f>
        <v>0</v>
      </c>
      <c r="AE121" s="40">
        <f>IF(AQ121="7",BI121,0)</f>
        <v>0</v>
      </c>
      <c r="AF121" s="40">
        <f>IF(AQ121="2",BH121,0)</f>
        <v>0</v>
      </c>
      <c r="AG121" s="40">
        <f>IF(AQ121="2",BI121,0)</f>
        <v>0</v>
      </c>
      <c r="AH121" s="40">
        <f>IF(AQ121="0",BJ121,0)</f>
        <v>0</v>
      </c>
      <c r="AI121" s="31" t="s">
        <v>391</v>
      </c>
      <c r="AJ121" s="40">
        <f>IF(AN121=0,L121,0)</f>
        <v>0</v>
      </c>
      <c r="AK121" s="40">
        <f>IF(AN121=15,L121,0)</f>
        <v>0</v>
      </c>
      <c r="AL121" s="40">
        <f>IF(AN121=21,L121,0)</f>
        <v>0</v>
      </c>
      <c r="AN121" s="40">
        <v>21</v>
      </c>
      <c r="AO121" s="40">
        <f>I121*0</f>
        <v>0</v>
      </c>
      <c r="AP121" s="40">
        <f>I121*(1-0)</f>
        <v>0</v>
      </c>
      <c r="AQ121" s="38" t="s">
        <v>550</v>
      </c>
      <c r="AV121" s="40">
        <f>AW121+AX121</f>
        <v>0</v>
      </c>
      <c r="AW121" s="40">
        <f>H121*AO121</f>
        <v>0</v>
      </c>
      <c r="AX121" s="40">
        <f>H121*AP121</f>
        <v>0</v>
      </c>
      <c r="AY121" s="38" t="s">
        <v>123</v>
      </c>
      <c r="AZ121" s="38" t="s">
        <v>150</v>
      </c>
      <c r="BA121" s="31" t="s">
        <v>427</v>
      </c>
      <c r="BC121" s="40">
        <f>AW121+AX121</f>
        <v>0</v>
      </c>
      <c r="BD121" s="40">
        <f>I121/(100-BE121)*100</f>
        <v>0</v>
      </c>
      <c r="BE121" s="40">
        <v>0</v>
      </c>
      <c r="BF121" s="40">
        <f>121</f>
        <v>121</v>
      </c>
      <c r="BH121" s="40">
        <f>H121*AO121</f>
        <v>0</v>
      </c>
      <c r="BI121" s="40">
        <f>H121*AP121</f>
        <v>0</v>
      </c>
      <c r="BJ121" s="40">
        <f>H121*I121</f>
        <v>0</v>
      </c>
      <c r="BK121" s="40"/>
      <c r="BL121" s="40">
        <v>776</v>
      </c>
    </row>
    <row r="122" spans="1:13" ht="15" customHeight="1">
      <c r="A122" s="55"/>
      <c r="C122" s="14" t="s">
        <v>246</v>
      </c>
      <c r="F122" s="14" t="s">
        <v>391</v>
      </c>
      <c r="H122" s="45">
        <v>37.760000000000005</v>
      </c>
      <c r="M122" s="18"/>
    </row>
    <row r="123" spans="1:64" ht="15" customHeight="1">
      <c r="A123" s="9" t="s">
        <v>542</v>
      </c>
      <c r="B123" s="33" t="s">
        <v>231</v>
      </c>
      <c r="C123" s="61" t="s">
        <v>207</v>
      </c>
      <c r="D123" s="61"/>
      <c r="E123" s="61"/>
      <c r="F123" s="61"/>
      <c r="G123" s="33" t="s">
        <v>469</v>
      </c>
      <c r="H123" s="40">
        <v>37.8</v>
      </c>
      <c r="I123" s="40">
        <v>0</v>
      </c>
      <c r="J123" s="40">
        <f>H123*AO123</f>
        <v>0</v>
      </c>
      <c r="K123" s="40">
        <f>H123*AP123</f>
        <v>0</v>
      </c>
      <c r="L123" s="40">
        <f>H123*I123</f>
        <v>0</v>
      </c>
      <c r="M123" s="19" t="s">
        <v>216</v>
      </c>
      <c r="Z123" s="40">
        <f>IF(AQ123="5",BJ123,0)</f>
        <v>0</v>
      </c>
      <c r="AB123" s="40">
        <f>IF(AQ123="1",BH123,0)</f>
        <v>0</v>
      </c>
      <c r="AC123" s="40">
        <f>IF(AQ123="1",BI123,0)</f>
        <v>0</v>
      </c>
      <c r="AD123" s="40">
        <f>IF(AQ123="7",BH123,0)</f>
        <v>0</v>
      </c>
      <c r="AE123" s="40">
        <f>IF(AQ123="7",BI123,0)</f>
        <v>0</v>
      </c>
      <c r="AF123" s="40">
        <f>IF(AQ123="2",BH123,0)</f>
        <v>0</v>
      </c>
      <c r="AG123" s="40">
        <f>IF(AQ123="2",BI123,0)</f>
        <v>0</v>
      </c>
      <c r="AH123" s="40">
        <f>IF(AQ123="0",BJ123,0)</f>
        <v>0</v>
      </c>
      <c r="AI123" s="31" t="s">
        <v>391</v>
      </c>
      <c r="AJ123" s="40">
        <f>IF(AN123=0,L123,0)</f>
        <v>0</v>
      </c>
      <c r="AK123" s="40">
        <f>IF(AN123=15,L123,0)</f>
        <v>0</v>
      </c>
      <c r="AL123" s="40">
        <f>IF(AN123=21,L123,0)</f>
        <v>0</v>
      </c>
      <c r="AN123" s="40">
        <v>21</v>
      </c>
      <c r="AO123" s="40">
        <f>I123*0.322</f>
        <v>0</v>
      </c>
      <c r="AP123" s="40">
        <f>I123*(1-0.322)</f>
        <v>0</v>
      </c>
      <c r="AQ123" s="38" t="s">
        <v>550</v>
      </c>
      <c r="AV123" s="40">
        <f>AW123+AX123</f>
        <v>0</v>
      </c>
      <c r="AW123" s="40">
        <f>H123*AO123</f>
        <v>0</v>
      </c>
      <c r="AX123" s="40">
        <f>H123*AP123</f>
        <v>0</v>
      </c>
      <c r="AY123" s="38" t="s">
        <v>123</v>
      </c>
      <c r="AZ123" s="38" t="s">
        <v>150</v>
      </c>
      <c r="BA123" s="31" t="s">
        <v>427</v>
      </c>
      <c r="BC123" s="40">
        <f>AW123+AX123</f>
        <v>0</v>
      </c>
      <c r="BD123" s="40">
        <f>I123/(100-BE123)*100</f>
        <v>0</v>
      </c>
      <c r="BE123" s="40">
        <v>0</v>
      </c>
      <c r="BF123" s="40">
        <f>123</f>
        <v>123</v>
      </c>
      <c r="BH123" s="40">
        <f>H123*AO123</f>
        <v>0</v>
      </c>
      <c r="BI123" s="40">
        <f>H123*AP123</f>
        <v>0</v>
      </c>
      <c r="BJ123" s="40">
        <f>H123*I123</f>
        <v>0</v>
      </c>
      <c r="BK123" s="40"/>
      <c r="BL123" s="40">
        <v>776</v>
      </c>
    </row>
    <row r="124" spans="1:13" ht="15" customHeight="1">
      <c r="A124" s="55"/>
      <c r="C124" s="14" t="s">
        <v>452</v>
      </c>
      <c r="F124" s="14" t="s">
        <v>391</v>
      </c>
      <c r="H124" s="45">
        <v>37.800000000000004</v>
      </c>
      <c r="M124" s="18"/>
    </row>
    <row r="125" spans="1:64" ht="15" customHeight="1">
      <c r="A125" s="9" t="s">
        <v>104</v>
      </c>
      <c r="B125" s="33" t="s">
        <v>145</v>
      </c>
      <c r="C125" s="61" t="s">
        <v>15</v>
      </c>
      <c r="D125" s="61"/>
      <c r="E125" s="61"/>
      <c r="F125" s="61"/>
      <c r="G125" s="33" t="s">
        <v>543</v>
      </c>
      <c r="H125" s="40">
        <v>37.597</v>
      </c>
      <c r="I125" s="40">
        <v>0</v>
      </c>
      <c r="J125" s="40">
        <f>H125*AO125</f>
        <v>0</v>
      </c>
      <c r="K125" s="40">
        <f>H125*AP125</f>
        <v>0</v>
      </c>
      <c r="L125" s="40">
        <f>H125*I125</f>
        <v>0</v>
      </c>
      <c r="M125" s="19" t="s">
        <v>216</v>
      </c>
      <c r="Z125" s="40">
        <f>IF(AQ125="5",BJ125,0)</f>
        <v>0</v>
      </c>
      <c r="AB125" s="40">
        <f>IF(AQ125="1",BH125,0)</f>
        <v>0</v>
      </c>
      <c r="AC125" s="40">
        <f>IF(AQ125="1",BI125,0)</f>
        <v>0</v>
      </c>
      <c r="AD125" s="40">
        <f>IF(AQ125="7",BH125,0)</f>
        <v>0</v>
      </c>
      <c r="AE125" s="40">
        <f>IF(AQ125="7",BI125,0)</f>
        <v>0</v>
      </c>
      <c r="AF125" s="40">
        <f>IF(AQ125="2",BH125,0)</f>
        <v>0</v>
      </c>
      <c r="AG125" s="40">
        <f>IF(AQ125="2",BI125,0)</f>
        <v>0</v>
      </c>
      <c r="AH125" s="40">
        <f>IF(AQ125="0",BJ125,0)</f>
        <v>0</v>
      </c>
      <c r="AI125" s="31" t="s">
        <v>391</v>
      </c>
      <c r="AJ125" s="40">
        <f>IF(AN125=0,L125,0)</f>
        <v>0</v>
      </c>
      <c r="AK125" s="40">
        <f>IF(AN125=15,L125,0)</f>
        <v>0</v>
      </c>
      <c r="AL125" s="40">
        <f>IF(AN125=21,L125,0)</f>
        <v>0</v>
      </c>
      <c r="AN125" s="40">
        <v>21</v>
      </c>
      <c r="AO125" s="40">
        <f>I125*0.698013753889827</f>
        <v>0</v>
      </c>
      <c r="AP125" s="40">
        <f>I125*(1-0.698013753889827)</f>
        <v>0</v>
      </c>
      <c r="AQ125" s="38" t="s">
        <v>550</v>
      </c>
      <c r="AV125" s="40">
        <f>AW125+AX125</f>
        <v>0</v>
      </c>
      <c r="AW125" s="40">
        <f>H125*AO125</f>
        <v>0</v>
      </c>
      <c r="AX125" s="40">
        <f>H125*AP125</f>
        <v>0</v>
      </c>
      <c r="AY125" s="38" t="s">
        <v>123</v>
      </c>
      <c r="AZ125" s="38" t="s">
        <v>150</v>
      </c>
      <c r="BA125" s="31" t="s">
        <v>427</v>
      </c>
      <c r="BC125" s="40">
        <f>AW125+AX125</f>
        <v>0</v>
      </c>
      <c r="BD125" s="40">
        <f>I125/(100-BE125)*100</f>
        <v>0</v>
      </c>
      <c r="BE125" s="40">
        <v>0</v>
      </c>
      <c r="BF125" s="40">
        <f>125</f>
        <v>125</v>
      </c>
      <c r="BH125" s="40">
        <f>H125*AO125</f>
        <v>0</v>
      </c>
      <c r="BI125" s="40">
        <f>H125*AP125</f>
        <v>0</v>
      </c>
      <c r="BJ125" s="40">
        <f>H125*I125</f>
        <v>0</v>
      </c>
      <c r="BK125" s="40"/>
      <c r="BL125" s="40">
        <v>776</v>
      </c>
    </row>
    <row r="126" spans="1:13" ht="15" customHeight="1">
      <c r="A126" s="55"/>
      <c r="C126" s="14" t="s">
        <v>394</v>
      </c>
      <c r="F126" s="14" t="s">
        <v>391</v>
      </c>
      <c r="H126" s="45">
        <v>37.597</v>
      </c>
      <c r="M126" s="18"/>
    </row>
    <row r="127" spans="1:64" ht="15" customHeight="1">
      <c r="A127" s="9" t="s">
        <v>119</v>
      </c>
      <c r="B127" s="33" t="s">
        <v>197</v>
      </c>
      <c r="C127" s="61" t="s">
        <v>67</v>
      </c>
      <c r="D127" s="61"/>
      <c r="E127" s="61"/>
      <c r="F127" s="61"/>
      <c r="G127" s="33" t="s">
        <v>491</v>
      </c>
      <c r="H127" s="40">
        <v>0.79</v>
      </c>
      <c r="I127" s="40">
        <v>0</v>
      </c>
      <c r="J127" s="40">
        <f>H127*AO127</f>
        <v>0</v>
      </c>
      <c r="K127" s="40">
        <f>H127*AP127</f>
        <v>0</v>
      </c>
      <c r="L127" s="40">
        <f>H127*I127</f>
        <v>0</v>
      </c>
      <c r="M127" s="19" t="s">
        <v>216</v>
      </c>
      <c r="Z127" s="40">
        <f>IF(AQ127="5",BJ127,0)</f>
        <v>0</v>
      </c>
      <c r="AB127" s="40">
        <f>IF(AQ127="1",BH127,0)</f>
        <v>0</v>
      </c>
      <c r="AC127" s="40">
        <f>IF(AQ127="1",BI127,0)</f>
        <v>0</v>
      </c>
      <c r="AD127" s="40">
        <f>IF(AQ127="7",BH127,0)</f>
        <v>0</v>
      </c>
      <c r="AE127" s="40">
        <f>IF(AQ127="7",BI127,0)</f>
        <v>0</v>
      </c>
      <c r="AF127" s="40">
        <f>IF(AQ127="2",BH127,0)</f>
        <v>0</v>
      </c>
      <c r="AG127" s="40">
        <f>IF(AQ127="2",BI127,0)</f>
        <v>0</v>
      </c>
      <c r="AH127" s="40">
        <f>IF(AQ127="0",BJ127,0)</f>
        <v>0</v>
      </c>
      <c r="AI127" s="31" t="s">
        <v>391</v>
      </c>
      <c r="AJ127" s="40">
        <f>IF(AN127=0,L127,0)</f>
        <v>0</v>
      </c>
      <c r="AK127" s="40">
        <f>IF(AN127=15,L127,0)</f>
        <v>0</v>
      </c>
      <c r="AL127" s="40">
        <f>IF(AN127=21,L127,0)</f>
        <v>0</v>
      </c>
      <c r="AN127" s="40">
        <v>21</v>
      </c>
      <c r="AO127" s="40">
        <f>I127*0</f>
        <v>0</v>
      </c>
      <c r="AP127" s="40">
        <f>I127*(1-0)</f>
        <v>0</v>
      </c>
      <c r="AQ127" s="38" t="s">
        <v>300</v>
      </c>
      <c r="AV127" s="40">
        <f>AW127+AX127</f>
        <v>0</v>
      </c>
      <c r="AW127" s="40">
        <f>H127*AO127</f>
        <v>0</v>
      </c>
      <c r="AX127" s="40">
        <f>H127*AP127</f>
        <v>0</v>
      </c>
      <c r="AY127" s="38" t="s">
        <v>123</v>
      </c>
      <c r="AZ127" s="38" t="s">
        <v>150</v>
      </c>
      <c r="BA127" s="31" t="s">
        <v>427</v>
      </c>
      <c r="BC127" s="40">
        <f>AW127+AX127</f>
        <v>0</v>
      </c>
      <c r="BD127" s="40">
        <f>I127/(100-BE127)*100</f>
        <v>0</v>
      </c>
      <c r="BE127" s="40">
        <v>0</v>
      </c>
      <c r="BF127" s="40">
        <f>127</f>
        <v>127</v>
      </c>
      <c r="BH127" s="40">
        <f>H127*AO127</f>
        <v>0</v>
      </c>
      <c r="BI127" s="40">
        <f>H127*AP127</f>
        <v>0</v>
      </c>
      <c r="BJ127" s="40">
        <f>H127*I127</f>
        <v>0</v>
      </c>
      <c r="BK127" s="40"/>
      <c r="BL127" s="40">
        <v>776</v>
      </c>
    </row>
    <row r="128" spans="1:47" ht="15" customHeight="1">
      <c r="A128" s="12" t="s">
        <v>391</v>
      </c>
      <c r="B128" s="36" t="s">
        <v>455</v>
      </c>
      <c r="C128" s="76" t="s">
        <v>249</v>
      </c>
      <c r="D128" s="76"/>
      <c r="E128" s="76"/>
      <c r="F128" s="76"/>
      <c r="G128" s="22" t="s">
        <v>513</v>
      </c>
      <c r="H128" s="22" t="s">
        <v>513</v>
      </c>
      <c r="I128" s="22" t="s">
        <v>513</v>
      </c>
      <c r="J128" s="17">
        <f>SUM(J129:J140)</f>
        <v>0</v>
      </c>
      <c r="K128" s="17">
        <f>SUM(K129:K140)</f>
        <v>0</v>
      </c>
      <c r="L128" s="17">
        <f>SUM(L129:L140)</f>
        <v>0</v>
      </c>
      <c r="M128" s="51" t="s">
        <v>391</v>
      </c>
      <c r="AI128" s="31" t="s">
        <v>391</v>
      </c>
      <c r="AS128" s="17">
        <f>SUM(AJ129:AJ140)</f>
        <v>0</v>
      </c>
      <c r="AT128" s="17">
        <f>SUM(AK129:AK140)</f>
        <v>0</v>
      </c>
      <c r="AU128" s="17">
        <f>SUM(AL129:AL140)</f>
        <v>0</v>
      </c>
    </row>
    <row r="129" spans="1:64" ht="15" customHeight="1">
      <c r="A129" s="9" t="s">
        <v>562</v>
      </c>
      <c r="B129" s="33" t="s">
        <v>432</v>
      </c>
      <c r="C129" s="61" t="s">
        <v>310</v>
      </c>
      <c r="D129" s="61"/>
      <c r="E129" s="61"/>
      <c r="F129" s="61"/>
      <c r="G129" s="33" t="s">
        <v>543</v>
      </c>
      <c r="H129" s="40">
        <v>15.285</v>
      </c>
      <c r="I129" s="40">
        <v>0</v>
      </c>
      <c r="J129" s="40">
        <f>H129*AO129</f>
        <v>0</v>
      </c>
      <c r="K129" s="40">
        <f>H129*AP129</f>
        <v>0</v>
      </c>
      <c r="L129" s="40">
        <f>H129*I129</f>
        <v>0</v>
      </c>
      <c r="M129" s="19" t="s">
        <v>216</v>
      </c>
      <c r="Z129" s="40">
        <f>IF(AQ129="5",BJ129,0)</f>
        <v>0</v>
      </c>
      <c r="AB129" s="40">
        <f>IF(AQ129="1",BH129,0)</f>
        <v>0</v>
      </c>
      <c r="AC129" s="40">
        <f>IF(AQ129="1",BI129,0)</f>
        <v>0</v>
      </c>
      <c r="AD129" s="40">
        <f>IF(AQ129="7",BH129,0)</f>
        <v>0</v>
      </c>
      <c r="AE129" s="40">
        <f>IF(AQ129="7",BI129,0)</f>
        <v>0</v>
      </c>
      <c r="AF129" s="40">
        <f>IF(AQ129="2",BH129,0)</f>
        <v>0</v>
      </c>
      <c r="AG129" s="40">
        <f>IF(AQ129="2",BI129,0)</f>
        <v>0</v>
      </c>
      <c r="AH129" s="40">
        <f>IF(AQ129="0",BJ129,0)</f>
        <v>0</v>
      </c>
      <c r="AI129" s="31" t="s">
        <v>391</v>
      </c>
      <c r="AJ129" s="40">
        <f>IF(AN129=0,L129,0)</f>
        <v>0</v>
      </c>
      <c r="AK129" s="40">
        <f>IF(AN129=15,L129,0)</f>
        <v>0</v>
      </c>
      <c r="AL129" s="40">
        <f>IF(AN129=21,L129,0)</f>
        <v>0</v>
      </c>
      <c r="AN129" s="40">
        <v>21</v>
      </c>
      <c r="AO129" s="40">
        <f>I129*0.506654322486644</f>
        <v>0</v>
      </c>
      <c r="AP129" s="40">
        <f>I129*(1-0.506654322486644)</f>
        <v>0</v>
      </c>
      <c r="AQ129" s="38" t="s">
        <v>550</v>
      </c>
      <c r="AV129" s="40">
        <f>AW129+AX129</f>
        <v>0</v>
      </c>
      <c r="AW129" s="40">
        <f>H129*AO129</f>
        <v>0</v>
      </c>
      <c r="AX129" s="40">
        <f>H129*AP129</f>
        <v>0</v>
      </c>
      <c r="AY129" s="38" t="s">
        <v>258</v>
      </c>
      <c r="AZ129" s="38" t="s">
        <v>252</v>
      </c>
      <c r="BA129" s="31" t="s">
        <v>427</v>
      </c>
      <c r="BC129" s="40">
        <f>AW129+AX129</f>
        <v>0</v>
      </c>
      <c r="BD129" s="40">
        <f>I129/(100-BE129)*100</f>
        <v>0</v>
      </c>
      <c r="BE129" s="40">
        <v>0</v>
      </c>
      <c r="BF129" s="40">
        <f>129</f>
        <v>129</v>
      </c>
      <c r="BH129" s="40">
        <f>H129*AO129</f>
        <v>0</v>
      </c>
      <c r="BI129" s="40">
        <f>H129*AP129</f>
        <v>0</v>
      </c>
      <c r="BJ129" s="40">
        <f>H129*I129</f>
        <v>0</v>
      </c>
      <c r="BK129" s="40"/>
      <c r="BL129" s="40">
        <v>781</v>
      </c>
    </row>
    <row r="130" spans="1:13" ht="15" customHeight="1">
      <c r="A130" s="55"/>
      <c r="C130" s="14" t="s">
        <v>220</v>
      </c>
      <c r="F130" s="14" t="s">
        <v>391</v>
      </c>
      <c r="H130" s="45">
        <v>1.8</v>
      </c>
      <c r="M130" s="18"/>
    </row>
    <row r="131" spans="1:13" ht="15" customHeight="1">
      <c r="A131" s="55"/>
      <c r="C131" s="14" t="s">
        <v>22</v>
      </c>
      <c r="F131" s="14" t="s">
        <v>391</v>
      </c>
      <c r="H131" s="45">
        <v>13.485000000000001</v>
      </c>
      <c r="M131" s="18"/>
    </row>
    <row r="132" spans="1:64" ht="15" customHeight="1">
      <c r="A132" s="9" t="s">
        <v>338</v>
      </c>
      <c r="B132" s="33" t="s">
        <v>322</v>
      </c>
      <c r="C132" s="61" t="s">
        <v>198</v>
      </c>
      <c r="D132" s="61"/>
      <c r="E132" s="61"/>
      <c r="F132" s="61"/>
      <c r="G132" s="33" t="s">
        <v>543</v>
      </c>
      <c r="H132" s="40">
        <v>13.485</v>
      </c>
      <c r="I132" s="40">
        <v>0</v>
      </c>
      <c r="J132" s="40">
        <f>H132*AO132</f>
        <v>0</v>
      </c>
      <c r="K132" s="40">
        <f>H132*AP132</f>
        <v>0</v>
      </c>
      <c r="L132" s="40">
        <f>H132*I132</f>
        <v>0</v>
      </c>
      <c r="M132" s="19" t="s">
        <v>216</v>
      </c>
      <c r="Z132" s="40">
        <f>IF(AQ132="5",BJ132,0)</f>
        <v>0</v>
      </c>
      <c r="AB132" s="40">
        <f>IF(AQ132="1",BH132,0)</f>
        <v>0</v>
      </c>
      <c r="AC132" s="40">
        <f>IF(AQ132="1",BI132,0)</f>
        <v>0</v>
      </c>
      <c r="AD132" s="40">
        <f>IF(AQ132="7",BH132,0)</f>
        <v>0</v>
      </c>
      <c r="AE132" s="40">
        <f>IF(AQ132="7",BI132,0)</f>
        <v>0</v>
      </c>
      <c r="AF132" s="40">
        <f>IF(AQ132="2",BH132,0)</f>
        <v>0</v>
      </c>
      <c r="AG132" s="40">
        <f>IF(AQ132="2",BI132,0)</f>
        <v>0</v>
      </c>
      <c r="AH132" s="40">
        <f>IF(AQ132="0",BJ132,0)</f>
        <v>0</v>
      </c>
      <c r="AI132" s="31" t="s">
        <v>391</v>
      </c>
      <c r="AJ132" s="40">
        <f>IF(AN132=0,L132,0)</f>
        <v>0</v>
      </c>
      <c r="AK132" s="40">
        <f>IF(AN132=15,L132,0)</f>
        <v>0</v>
      </c>
      <c r="AL132" s="40">
        <f>IF(AN132=21,L132,0)</f>
        <v>0</v>
      </c>
      <c r="AN132" s="40">
        <v>21</v>
      </c>
      <c r="AO132" s="40">
        <f>I132*0</f>
        <v>0</v>
      </c>
      <c r="AP132" s="40">
        <f>I132*(1-0)</f>
        <v>0</v>
      </c>
      <c r="AQ132" s="38" t="s">
        <v>550</v>
      </c>
      <c r="AV132" s="40">
        <f>AW132+AX132</f>
        <v>0</v>
      </c>
      <c r="AW132" s="40">
        <f>H132*AO132</f>
        <v>0</v>
      </c>
      <c r="AX132" s="40">
        <f>H132*AP132</f>
        <v>0</v>
      </c>
      <c r="AY132" s="38" t="s">
        <v>258</v>
      </c>
      <c r="AZ132" s="38" t="s">
        <v>252</v>
      </c>
      <c r="BA132" s="31" t="s">
        <v>427</v>
      </c>
      <c r="BC132" s="40">
        <f>AW132+AX132</f>
        <v>0</v>
      </c>
      <c r="BD132" s="40">
        <f>I132/(100-BE132)*100</f>
        <v>0</v>
      </c>
      <c r="BE132" s="40">
        <v>0</v>
      </c>
      <c r="BF132" s="40">
        <f>132</f>
        <v>132</v>
      </c>
      <c r="BH132" s="40">
        <f>H132*AO132</f>
        <v>0</v>
      </c>
      <c r="BI132" s="40">
        <f>H132*AP132</f>
        <v>0</v>
      </c>
      <c r="BJ132" s="40">
        <f>H132*I132</f>
        <v>0</v>
      </c>
      <c r="BK132" s="40"/>
      <c r="BL132" s="40">
        <v>781</v>
      </c>
    </row>
    <row r="133" spans="1:13" ht="15" customHeight="1">
      <c r="A133" s="55"/>
      <c r="C133" s="14" t="s">
        <v>22</v>
      </c>
      <c r="F133" s="14" t="s">
        <v>391</v>
      </c>
      <c r="H133" s="45">
        <v>13.485000000000001</v>
      </c>
      <c r="M133" s="18"/>
    </row>
    <row r="134" spans="1:64" ht="15" customHeight="1">
      <c r="A134" s="9" t="s">
        <v>280</v>
      </c>
      <c r="B134" s="33" t="s">
        <v>296</v>
      </c>
      <c r="C134" s="61" t="s">
        <v>140</v>
      </c>
      <c r="D134" s="61"/>
      <c r="E134" s="61"/>
      <c r="F134" s="61"/>
      <c r="G134" s="33" t="s">
        <v>543</v>
      </c>
      <c r="H134" s="40">
        <v>15.285</v>
      </c>
      <c r="I134" s="40">
        <v>0</v>
      </c>
      <c r="J134" s="40">
        <f>H134*AO134</f>
        <v>0</v>
      </c>
      <c r="K134" s="40">
        <f>H134*AP134</f>
        <v>0</v>
      </c>
      <c r="L134" s="40">
        <f>H134*I134</f>
        <v>0</v>
      </c>
      <c r="M134" s="19" t="s">
        <v>216</v>
      </c>
      <c r="Z134" s="40">
        <f>IF(AQ134="5",BJ134,0)</f>
        <v>0</v>
      </c>
      <c r="AB134" s="40">
        <f>IF(AQ134="1",BH134,0)</f>
        <v>0</v>
      </c>
      <c r="AC134" s="40">
        <f>IF(AQ134="1",BI134,0)</f>
        <v>0</v>
      </c>
      <c r="AD134" s="40">
        <f>IF(AQ134="7",BH134,0)</f>
        <v>0</v>
      </c>
      <c r="AE134" s="40">
        <f>IF(AQ134="7",BI134,0)</f>
        <v>0</v>
      </c>
      <c r="AF134" s="40">
        <f>IF(AQ134="2",BH134,0)</f>
        <v>0</v>
      </c>
      <c r="AG134" s="40">
        <f>IF(AQ134="2",BI134,0)</f>
        <v>0</v>
      </c>
      <c r="AH134" s="40">
        <f>IF(AQ134="0",BJ134,0)</f>
        <v>0</v>
      </c>
      <c r="AI134" s="31" t="s">
        <v>391</v>
      </c>
      <c r="AJ134" s="40">
        <f>IF(AN134=0,L134,0)</f>
        <v>0</v>
      </c>
      <c r="AK134" s="40">
        <f>IF(AN134=15,L134,0)</f>
        <v>0</v>
      </c>
      <c r="AL134" s="40">
        <f>IF(AN134=21,L134,0)</f>
        <v>0</v>
      </c>
      <c r="AN134" s="40">
        <v>21</v>
      </c>
      <c r="AO134" s="40">
        <f>I134*0.139487526273441</f>
        <v>0</v>
      </c>
      <c r="AP134" s="40">
        <f>I134*(1-0.139487526273441)</f>
        <v>0</v>
      </c>
      <c r="AQ134" s="38" t="s">
        <v>550</v>
      </c>
      <c r="AV134" s="40">
        <f>AW134+AX134</f>
        <v>0</v>
      </c>
      <c r="AW134" s="40">
        <f>H134*AO134</f>
        <v>0</v>
      </c>
      <c r="AX134" s="40">
        <f>H134*AP134</f>
        <v>0</v>
      </c>
      <c r="AY134" s="38" t="s">
        <v>258</v>
      </c>
      <c r="AZ134" s="38" t="s">
        <v>252</v>
      </c>
      <c r="BA134" s="31" t="s">
        <v>427</v>
      </c>
      <c r="BC134" s="40">
        <f>AW134+AX134</f>
        <v>0</v>
      </c>
      <c r="BD134" s="40">
        <f>I134/(100-BE134)*100</f>
        <v>0</v>
      </c>
      <c r="BE134" s="40">
        <v>0</v>
      </c>
      <c r="BF134" s="40">
        <f>134</f>
        <v>134</v>
      </c>
      <c r="BH134" s="40">
        <f>H134*AO134</f>
        <v>0</v>
      </c>
      <c r="BI134" s="40">
        <f>H134*AP134</f>
        <v>0</v>
      </c>
      <c r="BJ134" s="40">
        <f>H134*I134</f>
        <v>0</v>
      </c>
      <c r="BK134" s="40"/>
      <c r="BL134" s="40">
        <v>781</v>
      </c>
    </row>
    <row r="135" spans="1:13" ht="15" customHeight="1">
      <c r="A135" s="55"/>
      <c r="C135" s="14" t="s">
        <v>220</v>
      </c>
      <c r="F135" s="14" t="s">
        <v>391</v>
      </c>
      <c r="H135" s="45">
        <v>1.8</v>
      </c>
      <c r="M135" s="18"/>
    </row>
    <row r="136" spans="1:13" ht="15" customHeight="1">
      <c r="A136" s="55"/>
      <c r="C136" s="14" t="s">
        <v>22</v>
      </c>
      <c r="F136" s="14" t="s">
        <v>391</v>
      </c>
      <c r="H136" s="45">
        <v>13.485000000000001</v>
      </c>
      <c r="M136" s="18"/>
    </row>
    <row r="137" spans="1:64" ht="15" customHeight="1">
      <c r="A137" s="9" t="s">
        <v>375</v>
      </c>
      <c r="B137" s="33" t="s">
        <v>164</v>
      </c>
      <c r="C137" s="61" t="s">
        <v>519</v>
      </c>
      <c r="D137" s="61"/>
      <c r="E137" s="61"/>
      <c r="F137" s="61"/>
      <c r="G137" s="33" t="s">
        <v>469</v>
      </c>
      <c r="H137" s="40">
        <v>31.16</v>
      </c>
      <c r="I137" s="40">
        <v>0</v>
      </c>
      <c r="J137" s="40">
        <f>H137*AO137</f>
        <v>0</v>
      </c>
      <c r="K137" s="40">
        <f>H137*AP137</f>
        <v>0</v>
      </c>
      <c r="L137" s="40">
        <f>H137*I137</f>
        <v>0</v>
      </c>
      <c r="M137" s="19" t="s">
        <v>216</v>
      </c>
      <c r="Z137" s="40">
        <f>IF(AQ137="5",BJ137,0)</f>
        <v>0</v>
      </c>
      <c r="AB137" s="40">
        <f>IF(AQ137="1",BH137,0)</f>
        <v>0</v>
      </c>
      <c r="AC137" s="40">
        <f>IF(AQ137="1",BI137,0)</f>
        <v>0</v>
      </c>
      <c r="AD137" s="40">
        <f>IF(AQ137="7",BH137,0)</f>
        <v>0</v>
      </c>
      <c r="AE137" s="40">
        <f>IF(AQ137="7",BI137,0)</f>
        <v>0</v>
      </c>
      <c r="AF137" s="40">
        <f>IF(AQ137="2",BH137,0)</f>
        <v>0</v>
      </c>
      <c r="AG137" s="40">
        <f>IF(AQ137="2",BI137,0)</f>
        <v>0</v>
      </c>
      <c r="AH137" s="40">
        <f>IF(AQ137="0",BJ137,0)</f>
        <v>0</v>
      </c>
      <c r="AI137" s="31" t="s">
        <v>391</v>
      </c>
      <c r="AJ137" s="40">
        <f>IF(AN137=0,L137,0)</f>
        <v>0</v>
      </c>
      <c r="AK137" s="40">
        <f>IF(AN137=15,L137,0)</f>
        <v>0</v>
      </c>
      <c r="AL137" s="40">
        <f>IF(AN137=21,L137,0)</f>
        <v>0</v>
      </c>
      <c r="AN137" s="40">
        <v>21</v>
      </c>
      <c r="AO137" s="40">
        <f>I137*0.745848058464464</f>
        <v>0</v>
      </c>
      <c r="AP137" s="40">
        <f>I137*(1-0.745848058464464)</f>
        <v>0</v>
      </c>
      <c r="AQ137" s="38" t="s">
        <v>550</v>
      </c>
      <c r="AV137" s="40">
        <f>AW137+AX137</f>
        <v>0</v>
      </c>
      <c r="AW137" s="40">
        <f>H137*AO137</f>
        <v>0</v>
      </c>
      <c r="AX137" s="40">
        <f>H137*AP137</f>
        <v>0</v>
      </c>
      <c r="AY137" s="38" t="s">
        <v>258</v>
      </c>
      <c r="AZ137" s="38" t="s">
        <v>252</v>
      </c>
      <c r="BA137" s="31" t="s">
        <v>427</v>
      </c>
      <c r="BC137" s="40">
        <f>AW137+AX137</f>
        <v>0</v>
      </c>
      <c r="BD137" s="40">
        <f>I137/(100-BE137)*100</f>
        <v>0</v>
      </c>
      <c r="BE137" s="40">
        <v>0</v>
      </c>
      <c r="BF137" s="40">
        <f>137</f>
        <v>137</v>
      </c>
      <c r="BH137" s="40">
        <f>H137*AO137</f>
        <v>0</v>
      </c>
      <c r="BI137" s="40">
        <f>H137*AP137</f>
        <v>0</v>
      </c>
      <c r="BJ137" s="40">
        <f>H137*I137</f>
        <v>0</v>
      </c>
      <c r="BK137" s="40"/>
      <c r="BL137" s="40">
        <v>781</v>
      </c>
    </row>
    <row r="138" spans="1:13" ht="15" customHeight="1">
      <c r="A138" s="55"/>
      <c r="C138" s="14" t="s">
        <v>107</v>
      </c>
      <c r="F138" s="14" t="s">
        <v>391</v>
      </c>
      <c r="H138" s="45">
        <v>31.160000000000004</v>
      </c>
      <c r="M138" s="18"/>
    </row>
    <row r="139" spans="1:64" ht="15" customHeight="1">
      <c r="A139" s="9" t="s">
        <v>21</v>
      </c>
      <c r="B139" s="33" t="s">
        <v>451</v>
      </c>
      <c r="C139" s="61" t="s">
        <v>151</v>
      </c>
      <c r="D139" s="61"/>
      <c r="E139" s="61"/>
      <c r="F139" s="61"/>
      <c r="G139" s="33" t="s">
        <v>543</v>
      </c>
      <c r="H139" s="40">
        <v>15.285</v>
      </c>
      <c r="I139" s="40">
        <v>0</v>
      </c>
      <c r="J139" s="40">
        <f>H139*AO139</f>
        <v>0</v>
      </c>
      <c r="K139" s="40">
        <f>H139*AP139</f>
        <v>0</v>
      </c>
      <c r="L139" s="40">
        <f>H139*I139</f>
        <v>0</v>
      </c>
      <c r="M139" s="19" t="s">
        <v>216</v>
      </c>
      <c r="Z139" s="40">
        <f>IF(AQ139="5",BJ139,0)</f>
        <v>0</v>
      </c>
      <c r="AB139" s="40">
        <f>IF(AQ139="1",BH139,0)</f>
        <v>0</v>
      </c>
      <c r="AC139" s="40">
        <f>IF(AQ139="1",BI139,0)</f>
        <v>0</v>
      </c>
      <c r="AD139" s="40">
        <f>IF(AQ139="7",BH139,0)</f>
        <v>0</v>
      </c>
      <c r="AE139" s="40">
        <f>IF(AQ139="7",BI139,0)</f>
        <v>0</v>
      </c>
      <c r="AF139" s="40">
        <f>IF(AQ139="2",BH139,0)</f>
        <v>0</v>
      </c>
      <c r="AG139" s="40">
        <f>IF(AQ139="2",BI139,0)</f>
        <v>0</v>
      </c>
      <c r="AH139" s="40">
        <f>IF(AQ139="0",BJ139,0)</f>
        <v>0</v>
      </c>
      <c r="AI139" s="31" t="s">
        <v>391</v>
      </c>
      <c r="AJ139" s="40">
        <f>IF(AN139=0,L139,0)</f>
        <v>0</v>
      </c>
      <c r="AK139" s="40">
        <f>IF(AN139=15,L139,0)</f>
        <v>0</v>
      </c>
      <c r="AL139" s="40">
        <f>IF(AN139=21,L139,0)</f>
        <v>0</v>
      </c>
      <c r="AN139" s="40">
        <v>21</v>
      </c>
      <c r="AO139" s="40">
        <f>I139*1</f>
        <v>0</v>
      </c>
      <c r="AP139" s="40">
        <f>I139*(1-1)</f>
        <v>0</v>
      </c>
      <c r="AQ139" s="38" t="s">
        <v>550</v>
      </c>
      <c r="AV139" s="40">
        <f>AW139+AX139</f>
        <v>0</v>
      </c>
      <c r="AW139" s="40">
        <f>H139*AO139</f>
        <v>0</v>
      </c>
      <c r="AX139" s="40">
        <f>H139*AP139</f>
        <v>0</v>
      </c>
      <c r="AY139" s="38" t="s">
        <v>258</v>
      </c>
      <c r="AZ139" s="38" t="s">
        <v>252</v>
      </c>
      <c r="BA139" s="31" t="s">
        <v>427</v>
      </c>
      <c r="BC139" s="40">
        <f>AW139+AX139</f>
        <v>0</v>
      </c>
      <c r="BD139" s="40">
        <f>I139/(100-BE139)*100</f>
        <v>0</v>
      </c>
      <c r="BE139" s="40">
        <v>0</v>
      </c>
      <c r="BF139" s="40">
        <f>139</f>
        <v>139</v>
      </c>
      <c r="BH139" s="40">
        <f>H139*AO139</f>
        <v>0</v>
      </c>
      <c r="BI139" s="40">
        <f>H139*AP139</f>
        <v>0</v>
      </c>
      <c r="BJ139" s="40">
        <f>H139*I139</f>
        <v>0</v>
      </c>
      <c r="BK139" s="40"/>
      <c r="BL139" s="40">
        <v>781</v>
      </c>
    </row>
    <row r="140" spans="1:64" ht="15" customHeight="1">
      <c r="A140" s="9" t="s">
        <v>590</v>
      </c>
      <c r="B140" s="33" t="s">
        <v>482</v>
      </c>
      <c r="C140" s="61" t="s">
        <v>27</v>
      </c>
      <c r="D140" s="61"/>
      <c r="E140" s="61"/>
      <c r="F140" s="61"/>
      <c r="G140" s="33" t="s">
        <v>491</v>
      </c>
      <c r="H140" s="40">
        <v>3.51</v>
      </c>
      <c r="I140" s="40">
        <v>0</v>
      </c>
      <c r="J140" s="40">
        <f>H140*AO140</f>
        <v>0</v>
      </c>
      <c r="K140" s="40">
        <f>H140*AP140</f>
        <v>0</v>
      </c>
      <c r="L140" s="40">
        <f>H140*I140</f>
        <v>0</v>
      </c>
      <c r="M140" s="19" t="s">
        <v>216</v>
      </c>
      <c r="Z140" s="40">
        <f>IF(AQ140="5",BJ140,0)</f>
        <v>0</v>
      </c>
      <c r="AB140" s="40">
        <f>IF(AQ140="1",BH140,0)</f>
        <v>0</v>
      </c>
      <c r="AC140" s="40">
        <f>IF(AQ140="1",BI140,0)</f>
        <v>0</v>
      </c>
      <c r="AD140" s="40">
        <f>IF(AQ140="7",BH140,0)</f>
        <v>0</v>
      </c>
      <c r="AE140" s="40">
        <f>IF(AQ140="7",BI140,0)</f>
        <v>0</v>
      </c>
      <c r="AF140" s="40">
        <f>IF(AQ140="2",BH140,0)</f>
        <v>0</v>
      </c>
      <c r="AG140" s="40">
        <f>IF(AQ140="2",BI140,0)</f>
        <v>0</v>
      </c>
      <c r="AH140" s="40">
        <f>IF(AQ140="0",BJ140,0)</f>
        <v>0</v>
      </c>
      <c r="AI140" s="31" t="s">
        <v>391</v>
      </c>
      <c r="AJ140" s="40">
        <f>IF(AN140=0,L140,0)</f>
        <v>0</v>
      </c>
      <c r="AK140" s="40">
        <f>IF(AN140=15,L140,0)</f>
        <v>0</v>
      </c>
      <c r="AL140" s="40">
        <f>IF(AN140=21,L140,0)</f>
        <v>0</v>
      </c>
      <c r="AN140" s="40">
        <v>21</v>
      </c>
      <c r="AO140" s="40">
        <f>I140*0</f>
        <v>0</v>
      </c>
      <c r="AP140" s="40">
        <f>I140*(1-0)</f>
        <v>0</v>
      </c>
      <c r="AQ140" s="38" t="s">
        <v>300</v>
      </c>
      <c r="AV140" s="40">
        <f>AW140+AX140</f>
        <v>0</v>
      </c>
      <c r="AW140" s="40">
        <f>H140*AO140</f>
        <v>0</v>
      </c>
      <c r="AX140" s="40">
        <f>H140*AP140</f>
        <v>0</v>
      </c>
      <c r="AY140" s="38" t="s">
        <v>258</v>
      </c>
      <c r="AZ140" s="38" t="s">
        <v>252</v>
      </c>
      <c r="BA140" s="31" t="s">
        <v>427</v>
      </c>
      <c r="BC140" s="40">
        <f>AW140+AX140</f>
        <v>0</v>
      </c>
      <c r="BD140" s="40">
        <f>I140/(100-BE140)*100</f>
        <v>0</v>
      </c>
      <c r="BE140" s="40">
        <v>0</v>
      </c>
      <c r="BF140" s="40">
        <f>140</f>
        <v>140</v>
      </c>
      <c r="BH140" s="40">
        <f>H140*AO140</f>
        <v>0</v>
      </c>
      <c r="BI140" s="40">
        <f>H140*AP140</f>
        <v>0</v>
      </c>
      <c r="BJ140" s="40">
        <f>H140*I140</f>
        <v>0</v>
      </c>
      <c r="BK140" s="40"/>
      <c r="BL140" s="40">
        <v>781</v>
      </c>
    </row>
    <row r="141" spans="1:47" ht="15" customHeight="1">
      <c r="A141" s="12" t="s">
        <v>391</v>
      </c>
      <c r="B141" s="36" t="s">
        <v>323</v>
      </c>
      <c r="C141" s="76" t="s">
        <v>446</v>
      </c>
      <c r="D141" s="76"/>
      <c r="E141" s="76"/>
      <c r="F141" s="76"/>
      <c r="G141" s="22" t="s">
        <v>513</v>
      </c>
      <c r="H141" s="22" t="s">
        <v>513</v>
      </c>
      <c r="I141" s="22" t="s">
        <v>513</v>
      </c>
      <c r="J141" s="17">
        <f>SUM(J142:J142)</f>
        <v>0</v>
      </c>
      <c r="K141" s="17">
        <f>SUM(K142:K142)</f>
        <v>0</v>
      </c>
      <c r="L141" s="17">
        <f>SUM(L142:L142)</f>
        <v>0</v>
      </c>
      <c r="M141" s="51" t="s">
        <v>391</v>
      </c>
      <c r="AI141" s="31" t="s">
        <v>391</v>
      </c>
      <c r="AS141" s="17">
        <f>SUM(AJ142:AJ142)</f>
        <v>0</v>
      </c>
      <c r="AT141" s="17">
        <f>SUM(AK142:AK142)</f>
        <v>0</v>
      </c>
      <c r="AU141" s="17">
        <f>SUM(AL142:AL142)</f>
        <v>0</v>
      </c>
    </row>
    <row r="142" spans="1:64" ht="15" customHeight="1">
      <c r="A142" s="9" t="s">
        <v>585</v>
      </c>
      <c r="B142" s="33" t="s">
        <v>621</v>
      </c>
      <c r="C142" s="61" t="s">
        <v>462</v>
      </c>
      <c r="D142" s="61"/>
      <c r="E142" s="61"/>
      <c r="F142" s="61"/>
      <c r="G142" s="33" t="s">
        <v>543</v>
      </c>
      <c r="H142" s="40">
        <v>2.824</v>
      </c>
      <c r="I142" s="40">
        <v>0</v>
      </c>
      <c r="J142" s="40">
        <f>H142*AO142</f>
        <v>0</v>
      </c>
      <c r="K142" s="40">
        <f>H142*AP142</f>
        <v>0</v>
      </c>
      <c r="L142" s="40">
        <f>H142*I142</f>
        <v>0</v>
      </c>
      <c r="M142" s="19" t="s">
        <v>216</v>
      </c>
      <c r="Z142" s="40">
        <f>IF(AQ142="5",BJ142,0)</f>
        <v>0</v>
      </c>
      <c r="AB142" s="40">
        <f>IF(AQ142="1",BH142,0)</f>
        <v>0</v>
      </c>
      <c r="AC142" s="40">
        <f>IF(AQ142="1",BI142,0)</f>
        <v>0</v>
      </c>
      <c r="AD142" s="40">
        <f>IF(AQ142="7",BH142,0)</f>
        <v>0</v>
      </c>
      <c r="AE142" s="40">
        <f>IF(AQ142="7",BI142,0)</f>
        <v>0</v>
      </c>
      <c r="AF142" s="40">
        <f>IF(AQ142="2",BH142,0)</f>
        <v>0</v>
      </c>
      <c r="AG142" s="40">
        <f>IF(AQ142="2",BI142,0)</f>
        <v>0</v>
      </c>
      <c r="AH142" s="40">
        <f>IF(AQ142="0",BJ142,0)</f>
        <v>0</v>
      </c>
      <c r="AI142" s="31" t="s">
        <v>391</v>
      </c>
      <c r="AJ142" s="40">
        <f>IF(AN142=0,L142,0)</f>
        <v>0</v>
      </c>
      <c r="AK142" s="40">
        <f>IF(AN142=15,L142,0)</f>
        <v>0</v>
      </c>
      <c r="AL142" s="40">
        <f>IF(AN142=21,L142,0)</f>
        <v>0</v>
      </c>
      <c r="AN142" s="40">
        <v>21</v>
      </c>
      <c r="AO142" s="40">
        <f>I142*0.221717342954845</f>
        <v>0</v>
      </c>
      <c r="AP142" s="40">
        <f>I142*(1-0.221717342954845)</f>
        <v>0</v>
      </c>
      <c r="AQ142" s="38" t="s">
        <v>550</v>
      </c>
      <c r="AV142" s="40">
        <f>AW142+AX142</f>
        <v>0</v>
      </c>
      <c r="AW142" s="40">
        <f>H142*AO142</f>
        <v>0</v>
      </c>
      <c r="AX142" s="40">
        <f>H142*AP142</f>
        <v>0</v>
      </c>
      <c r="AY142" s="38" t="s">
        <v>146</v>
      </c>
      <c r="AZ142" s="38" t="s">
        <v>252</v>
      </c>
      <c r="BA142" s="31" t="s">
        <v>427</v>
      </c>
      <c r="BC142" s="40">
        <f>AW142+AX142</f>
        <v>0</v>
      </c>
      <c r="BD142" s="40">
        <f>I142/(100-BE142)*100</f>
        <v>0</v>
      </c>
      <c r="BE142" s="40">
        <v>0</v>
      </c>
      <c r="BF142" s="40">
        <f>142</f>
        <v>142</v>
      </c>
      <c r="BH142" s="40">
        <f>H142*AO142</f>
        <v>0</v>
      </c>
      <c r="BI142" s="40">
        <f>H142*AP142</f>
        <v>0</v>
      </c>
      <c r="BJ142" s="40">
        <f>H142*I142</f>
        <v>0</v>
      </c>
      <c r="BK142" s="40"/>
      <c r="BL142" s="40">
        <v>783</v>
      </c>
    </row>
    <row r="143" spans="1:13" ht="15" customHeight="1">
      <c r="A143" s="55"/>
      <c r="C143" s="14" t="s">
        <v>16</v>
      </c>
      <c r="F143" s="14" t="s">
        <v>391</v>
      </c>
      <c r="H143" s="45">
        <v>2.8240000000000003</v>
      </c>
      <c r="M143" s="18"/>
    </row>
    <row r="144" spans="1:47" ht="15" customHeight="1">
      <c r="A144" s="12" t="s">
        <v>391</v>
      </c>
      <c r="B144" s="36" t="s">
        <v>317</v>
      </c>
      <c r="C144" s="76" t="s">
        <v>9</v>
      </c>
      <c r="D144" s="76"/>
      <c r="E144" s="76"/>
      <c r="F144" s="76"/>
      <c r="G144" s="22" t="s">
        <v>513</v>
      </c>
      <c r="H144" s="22" t="s">
        <v>513</v>
      </c>
      <c r="I144" s="22" t="s">
        <v>513</v>
      </c>
      <c r="J144" s="17">
        <f>SUM(J145:J149)</f>
        <v>0</v>
      </c>
      <c r="K144" s="17">
        <f>SUM(K145:K149)</f>
        <v>0</v>
      </c>
      <c r="L144" s="17">
        <f>SUM(L145:L149)</f>
        <v>0</v>
      </c>
      <c r="M144" s="51" t="s">
        <v>391</v>
      </c>
      <c r="AI144" s="31" t="s">
        <v>391</v>
      </c>
      <c r="AS144" s="17">
        <f>SUM(AJ145:AJ149)</f>
        <v>0</v>
      </c>
      <c r="AT144" s="17">
        <f>SUM(AK145:AK149)</f>
        <v>0</v>
      </c>
      <c r="AU144" s="17">
        <f>SUM(AL145:AL149)</f>
        <v>0</v>
      </c>
    </row>
    <row r="145" spans="1:64" ht="15" customHeight="1">
      <c r="A145" s="9" t="s">
        <v>584</v>
      </c>
      <c r="B145" s="33" t="s">
        <v>161</v>
      </c>
      <c r="C145" s="61" t="s">
        <v>96</v>
      </c>
      <c r="D145" s="61"/>
      <c r="E145" s="61"/>
      <c r="F145" s="61"/>
      <c r="G145" s="33" t="s">
        <v>543</v>
      </c>
      <c r="H145" s="40">
        <v>140.402</v>
      </c>
      <c r="I145" s="40">
        <v>0</v>
      </c>
      <c r="J145" s="40">
        <f>H145*AO145</f>
        <v>0</v>
      </c>
      <c r="K145" s="40">
        <f>H145*AP145</f>
        <v>0</v>
      </c>
      <c r="L145" s="40">
        <f>H145*I145</f>
        <v>0</v>
      </c>
      <c r="M145" s="19" t="s">
        <v>216</v>
      </c>
      <c r="Z145" s="40">
        <f>IF(AQ145="5",BJ145,0)</f>
        <v>0</v>
      </c>
      <c r="AB145" s="40">
        <f>IF(AQ145="1",BH145,0)</f>
        <v>0</v>
      </c>
      <c r="AC145" s="40">
        <f>IF(AQ145="1",BI145,0)</f>
        <v>0</v>
      </c>
      <c r="AD145" s="40">
        <f>IF(AQ145="7",BH145,0)</f>
        <v>0</v>
      </c>
      <c r="AE145" s="40">
        <f>IF(AQ145="7",BI145,0)</f>
        <v>0</v>
      </c>
      <c r="AF145" s="40">
        <f>IF(AQ145="2",BH145,0)</f>
        <v>0</v>
      </c>
      <c r="AG145" s="40">
        <f>IF(AQ145="2",BI145,0)</f>
        <v>0</v>
      </c>
      <c r="AH145" s="40">
        <f>IF(AQ145="0",BJ145,0)</f>
        <v>0</v>
      </c>
      <c r="AI145" s="31" t="s">
        <v>391</v>
      </c>
      <c r="AJ145" s="40">
        <f>IF(AN145=0,L145,0)</f>
        <v>0</v>
      </c>
      <c r="AK145" s="40">
        <f>IF(AN145=15,L145,0)</f>
        <v>0</v>
      </c>
      <c r="AL145" s="40">
        <f>IF(AN145=21,L145,0)</f>
        <v>0</v>
      </c>
      <c r="AN145" s="40">
        <v>21</v>
      </c>
      <c r="AO145" s="40">
        <f>I145*0.2750002187013</f>
        <v>0</v>
      </c>
      <c r="AP145" s="40">
        <f>I145*(1-0.2750002187013)</f>
        <v>0</v>
      </c>
      <c r="AQ145" s="38" t="s">
        <v>550</v>
      </c>
      <c r="AV145" s="40">
        <f>AW145+AX145</f>
        <v>0</v>
      </c>
      <c r="AW145" s="40">
        <f>H145*AO145</f>
        <v>0</v>
      </c>
      <c r="AX145" s="40">
        <f>H145*AP145</f>
        <v>0</v>
      </c>
      <c r="AY145" s="38" t="s">
        <v>497</v>
      </c>
      <c r="AZ145" s="38" t="s">
        <v>252</v>
      </c>
      <c r="BA145" s="31" t="s">
        <v>427</v>
      </c>
      <c r="BC145" s="40">
        <f>AW145+AX145</f>
        <v>0</v>
      </c>
      <c r="BD145" s="40">
        <f>I145/(100-BE145)*100</f>
        <v>0</v>
      </c>
      <c r="BE145" s="40">
        <v>0</v>
      </c>
      <c r="BF145" s="40">
        <f>145</f>
        <v>145</v>
      </c>
      <c r="BH145" s="40">
        <f>H145*AO145</f>
        <v>0</v>
      </c>
      <c r="BI145" s="40">
        <f>H145*AP145</f>
        <v>0</v>
      </c>
      <c r="BJ145" s="40">
        <f>H145*I145</f>
        <v>0</v>
      </c>
      <c r="BK145" s="40"/>
      <c r="BL145" s="40">
        <v>784</v>
      </c>
    </row>
    <row r="146" spans="1:13" ht="15" customHeight="1">
      <c r="A146" s="55"/>
      <c r="C146" s="14" t="s">
        <v>87</v>
      </c>
      <c r="F146" s="14" t="s">
        <v>391</v>
      </c>
      <c r="H146" s="45">
        <v>72.96000000000001</v>
      </c>
      <c r="M146" s="18"/>
    </row>
    <row r="147" spans="1:13" ht="15" customHeight="1">
      <c r="A147" s="55"/>
      <c r="C147" s="14" t="s">
        <v>472</v>
      </c>
      <c r="F147" s="14" t="s">
        <v>391</v>
      </c>
      <c r="H147" s="45">
        <v>67.44200000000001</v>
      </c>
      <c r="M147" s="18"/>
    </row>
    <row r="148" spans="1:13" ht="15" customHeight="1">
      <c r="A148" s="55"/>
      <c r="C148" s="14" t="s">
        <v>175</v>
      </c>
      <c r="F148" s="14" t="s">
        <v>391</v>
      </c>
      <c r="H148" s="45">
        <v>0</v>
      </c>
      <c r="M148" s="18"/>
    </row>
    <row r="149" spans="1:64" ht="15" customHeight="1">
      <c r="A149" s="9" t="s">
        <v>19</v>
      </c>
      <c r="B149" s="33" t="s">
        <v>612</v>
      </c>
      <c r="C149" s="61" t="s">
        <v>61</v>
      </c>
      <c r="D149" s="61"/>
      <c r="E149" s="61"/>
      <c r="F149" s="61"/>
      <c r="G149" s="33" t="s">
        <v>543</v>
      </c>
      <c r="H149" s="40">
        <v>140.402</v>
      </c>
      <c r="I149" s="40">
        <v>0</v>
      </c>
      <c r="J149" s="40">
        <f>H149*AO149</f>
        <v>0</v>
      </c>
      <c r="K149" s="40">
        <f>H149*AP149</f>
        <v>0</v>
      </c>
      <c r="L149" s="40">
        <f>H149*I149</f>
        <v>0</v>
      </c>
      <c r="M149" s="19" t="s">
        <v>216</v>
      </c>
      <c r="Z149" s="40">
        <f>IF(AQ149="5",BJ149,0)</f>
        <v>0</v>
      </c>
      <c r="AB149" s="40">
        <f>IF(AQ149="1",BH149,0)</f>
        <v>0</v>
      </c>
      <c r="AC149" s="40">
        <f>IF(AQ149="1",BI149,0)</f>
        <v>0</v>
      </c>
      <c r="AD149" s="40">
        <f>IF(AQ149="7",BH149,0)</f>
        <v>0</v>
      </c>
      <c r="AE149" s="40">
        <f>IF(AQ149="7",BI149,0)</f>
        <v>0</v>
      </c>
      <c r="AF149" s="40">
        <f>IF(AQ149="2",BH149,0)</f>
        <v>0</v>
      </c>
      <c r="AG149" s="40">
        <f>IF(AQ149="2",BI149,0)</f>
        <v>0</v>
      </c>
      <c r="AH149" s="40">
        <f>IF(AQ149="0",BJ149,0)</f>
        <v>0</v>
      </c>
      <c r="AI149" s="31" t="s">
        <v>391</v>
      </c>
      <c r="AJ149" s="40">
        <f>IF(AN149=0,L149,0)</f>
        <v>0</v>
      </c>
      <c r="AK149" s="40">
        <f>IF(AN149=15,L149,0)</f>
        <v>0</v>
      </c>
      <c r="AL149" s="40">
        <f>IF(AN149=21,L149,0)</f>
        <v>0</v>
      </c>
      <c r="AN149" s="40">
        <v>21</v>
      </c>
      <c r="AO149" s="40">
        <f>I149*0.0941780891926894</f>
        <v>0</v>
      </c>
      <c r="AP149" s="40">
        <f>I149*(1-0.0941780891926894)</f>
        <v>0</v>
      </c>
      <c r="AQ149" s="38" t="s">
        <v>550</v>
      </c>
      <c r="AV149" s="40">
        <f>AW149+AX149</f>
        <v>0</v>
      </c>
      <c r="AW149" s="40">
        <f>H149*AO149</f>
        <v>0</v>
      </c>
      <c r="AX149" s="40">
        <f>H149*AP149</f>
        <v>0</v>
      </c>
      <c r="AY149" s="38" t="s">
        <v>497</v>
      </c>
      <c r="AZ149" s="38" t="s">
        <v>252</v>
      </c>
      <c r="BA149" s="31" t="s">
        <v>427</v>
      </c>
      <c r="BC149" s="40">
        <f>AW149+AX149</f>
        <v>0</v>
      </c>
      <c r="BD149" s="40">
        <f>I149/(100-BE149)*100</f>
        <v>0</v>
      </c>
      <c r="BE149" s="40">
        <v>0</v>
      </c>
      <c r="BF149" s="40">
        <f>149</f>
        <v>149</v>
      </c>
      <c r="BH149" s="40">
        <f>H149*AO149</f>
        <v>0</v>
      </c>
      <c r="BI149" s="40">
        <f>H149*AP149</f>
        <v>0</v>
      </c>
      <c r="BJ149" s="40">
        <f>H149*I149</f>
        <v>0</v>
      </c>
      <c r="BK149" s="40"/>
      <c r="BL149" s="40">
        <v>784</v>
      </c>
    </row>
    <row r="150" spans="1:47" ht="15" customHeight="1">
      <c r="A150" s="12" t="s">
        <v>391</v>
      </c>
      <c r="B150" s="36" t="s">
        <v>75</v>
      </c>
      <c r="C150" s="76" t="s">
        <v>399</v>
      </c>
      <c r="D150" s="76"/>
      <c r="E150" s="76"/>
      <c r="F150" s="76"/>
      <c r="G150" s="22" t="s">
        <v>513</v>
      </c>
      <c r="H150" s="22" t="s">
        <v>513</v>
      </c>
      <c r="I150" s="22" t="s">
        <v>513</v>
      </c>
      <c r="J150" s="17">
        <f>SUM(J151:J151)</f>
        <v>0</v>
      </c>
      <c r="K150" s="17">
        <f>SUM(K151:K151)</f>
        <v>0</v>
      </c>
      <c r="L150" s="17">
        <f>SUM(L151:L151)</f>
        <v>0</v>
      </c>
      <c r="M150" s="51" t="s">
        <v>391</v>
      </c>
      <c r="AI150" s="31" t="s">
        <v>391</v>
      </c>
      <c r="AS150" s="17">
        <f>SUM(AJ151:AJ151)</f>
        <v>0</v>
      </c>
      <c r="AT150" s="17">
        <f>SUM(AK151:AK151)</f>
        <v>0</v>
      </c>
      <c r="AU150" s="17">
        <f>SUM(AL151:AL151)</f>
        <v>0</v>
      </c>
    </row>
    <row r="151" spans="1:64" ht="15" customHeight="1">
      <c r="A151" s="9" t="s">
        <v>1</v>
      </c>
      <c r="B151" s="33" t="s">
        <v>162</v>
      </c>
      <c r="C151" s="61" t="s">
        <v>201</v>
      </c>
      <c r="D151" s="61"/>
      <c r="E151" s="61"/>
      <c r="F151" s="61"/>
      <c r="G151" s="33" t="s">
        <v>543</v>
      </c>
      <c r="H151" s="40">
        <v>41.4</v>
      </c>
      <c r="I151" s="40">
        <v>0</v>
      </c>
      <c r="J151" s="40">
        <f>H151*AO151</f>
        <v>0</v>
      </c>
      <c r="K151" s="40">
        <f>H151*AP151</f>
        <v>0</v>
      </c>
      <c r="L151" s="40">
        <f>H151*I151</f>
        <v>0</v>
      </c>
      <c r="M151" s="19" t="s">
        <v>216</v>
      </c>
      <c r="Z151" s="40">
        <f>IF(AQ151="5",BJ151,0)</f>
        <v>0</v>
      </c>
      <c r="AB151" s="40">
        <f>IF(AQ151="1",BH151,0)</f>
        <v>0</v>
      </c>
      <c r="AC151" s="40">
        <f>IF(AQ151="1",BI151,0)</f>
        <v>0</v>
      </c>
      <c r="AD151" s="40">
        <f>IF(AQ151="7",BH151,0)</f>
        <v>0</v>
      </c>
      <c r="AE151" s="40">
        <f>IF(AQ151="7",BI151,0)</f>
        <v>0</v>
      </c>
      <c r="AF151" s="40">
        <f>IF(AQ151="2",BH151,0)</f>
        <v>0</v>
      </c>
      <c r="AG151" s="40">
        <f>IF(AQ151="2",BI151,0)</f>
        <v>0</v>
      </c>
      <c r="AH151" s="40">
        <f>IF(AQ151="0",BJ151,0)</f>
        <v>0</v>
      </c>
      <c r="AI151" s="31" t="s">
        <v>391</v>
      </c>
      <c r="AJ151" s="40">
        <f>IF(AN151=0,L151,0)</f>
        <v>0</v>
      </c>
      <c r="AK151" s="40">
        <f>IF(AN151=15,L151,0)</f>
        <v>0</v>
      </c>
      <c r="AL151" s="40">
        <f>IF(AN151=21,L151,0)</f>
        <v>0</v>
      </c>
      <c r="AN151" s="40">
        <v>21</v>
      </c>
      <c r="AO151" s="40">
        <f>I151*0.327179487179487</f>
        <v>0</v>
      </c>
      <c r="AP151" s="40">
        <f>I151*(1-0.327179487179487)</f>
        <v>0</v>
      </c>
      <c r="AQ151" s="38" t="s">
        <v>548</v>
      </c>
      <c r="AV151" s="40">
        <f>AW151+AX151</f>
        <v>0</v>
      </c>
      <c r="AW151" s="40">
        <f>H151*AO151</f>
        <v>0</v>
      </c>
      <c r="AX151" s="40">
        <f>H151*AP151</f>
        <v>0</v>
      </c>
      <c r="AY151" s="38" t="s">
        <v>611</v>
      </c>
      <c r="AZ151" s="38" t="s">
        <v>208</v>
      </c>
      <c r="BA151" s="31" t="s">
        <v>427</v>
      </c>
      <c r="BC151" s="40">
        <f>AW151+AX151</f>
        <v>0</v>
      </c>
      <c r="BD151" s="40">
        <f>I151/(100-BE151)*100</f>
        <v>0</v>
      </c>
      <c r="BE151" s="40">
        <v>0</v>
      </c>
      <c r="BF151" s="40">
        <f>151</f>
        <v>151</v>
      </c>
      <c r="BH151" s="40">
        <f>H151*AO151</f>
        <v>0</v>
      </c>
      <c r="BI151" s="40">
        <f>H151*AP151</f>
        <v>0</v>
      </c>
      <c r="BJ151" s="40">
        <f>H151*I151</f>
        <v>0</v>
      </c>
      <c r="BK151" s="40"/>
      <c r="BL151" s="40">
        <v>94</v>
      </c>
    </row>
    <row r="152" spans="1:13" ht="15" customHeight="1">
      <c r="A152" s="55"/>
      <c r="C152" s="14" t="s">
        <v>135</v>
      </c>
      <c r="F152" s="14" t="s">
        <v>391</v>
      </c>
      <c r="H152" s="45">
        <v>41.400000000000006</v>
      </c>
      <c r="M152" s="18"/>
    </row>
    <row r="153" spans="1:47" ht="15" customHeight="1">
      <c r="A153" s="12" t="s">
        <v>391</v>
      </c>
      <c r="B153" s="36" t="s">
        <v>227</v>
      </c>
      <c r="C153" s="76" t="s">
        <v>418</v>
      </c>
      <c r="D153" s="76"/>
      <c r="E153" s="76"/>
      <c r="F153" s="76"/>
      <c r="G153" s="22" t="s">
        <v>513</v>
      </c>
      <c r="H153" s="22" t="s">
        <v>513</v>
      </c>
      <c r="I153" s="22" t="s">
        <v>513</v>
      </c>
      <c r="J153" s="17">
        <f>SUM(J154:J158)</f>
        <v>0</v>
      </c>
      <c r="K153" s="17">
        <f>SUM(K154:K158)</f>
        <v>0</v>
      </c>
      <c r="L153" s="17">
        <f>SUM(L154:L158)</f>
        <v>0</v>
      </c>
      <c r="M153" s="51" t="s">
        <v>391</v>
      </c>
      <c r="AI153" s="31" t="s">
        <v>391</v>
      </c>
      <c r="AS153" s="17">
        <f>SUM(AJ154:AJ158)</f>
        <v>0</v>
      </c>
      <c r="AT153" s="17">
        <f>SUM(AK154:AK158)</f>
        <v>0</v>
      </c>
      <c r="AU153" s="17">
        <f>SUM(AL154:AL158)</f>
        <v>0</v>
      </c>
    </row>
    <row r="154" spans="1:64" ht="15" customHeight="1">
      <c r="A154" s="9" t="s">
        <v>506</v>
      </c>
      <c r="B154" s="33" t="s">
        <v>39</v>
      </c>
      <c r="C154" s="61" t="s">
        <v>564</v>
      </c>
      <c r="D154" s="61"/>
      <c r="E154" s="61"/>
      <c r="F154" s="61"/>
      <c r="G154" s="33" t="s">
        <v>154</v>
      </c>
      <c r="H154" s="40">
        <v>1</v>
      </c>
      <c r="I154" s="40">
        <v>0</v>
      </c>
      <c r="J154" s="40">
        <f>H154*AO154</f>
        <v>0</v>
      </c>
      <c r="K154" s="40">
        <f>H154*AP154</f>
        <v>0</v>
      </c>
      <c r="L154" s="40">
        <f>H154*I154</f>
        <v>0</v>
      </c>
      <c r="M154" s="19" t="s">
        <v>216</v>
      </c>
      <c r="Z154" s="40">
        <f>IF(AQ154="5",BJ154,0)</f>
        <v>0</v>
      </c>
      <c r="AB154" s="40">
        <f>IF(AQ154="1",BH154,0)</f>
        <v>0</v>
      </c>
      <c r="AC154" s="40">
        <f>IF(AQ154="1",BI154,0)</f>
        <v>0</v>
      </c>
      <c r="AD154" s="40">
        <f>IF(AQ154="7",BH154,0)</f>
        <v>0</v>
      </c>
      <c r="AE154" s="40">
        <f>IF(AQ154="7",BI154,0)</f>
        <v>0</v>
      </c>
      <c r="AF154" s="40">
        <f>IF(AQ154="2",BH154,0)</f>
        <v>0</v>
      </c>
      <c r="AG154" s="40">
        <f>IF(AQ154="2",BI154,0)</f>
        <v>0</v>
      </c>
      <c r="AH154" s="40">
        <f>IF(AQ154="0",BJ154,0)</f>
        <v>0</v>
      </c>
      <c r="AI154" s="31" t="s">
        <v>391</v>
      </c>
      <c r="AJ154" s="40">
        <f>IF(AN154=0,L154,0)</f>
        <v>0</v>
      </c>
      <c r="AK154" s="40">
        <f>IF(AN154=15,L154,0)</f>
        <v>0</v>
      </c>
      <c r="AL154" s="40">
        <f>IF(AN154=21,L154,0)</f>
        <v>0</v>
      </c>
      <c r="AN154" s="40">
        <v>21</v>
      </c>
      <c r="AO154" s="40">
        <f>I154*0.134988508949091</f>
        <v>0</v>
      </c>
      <c r="AP154" s="40">
        <f>I154*(1-0.134988508949091)</f>
        <v>0</v>
      </c>
      <c r="AQ154" s="38" t="s">
        <v>548</v>
      </c>
      <c r="AV154" s="40">
        <f>AW154+AX154</f>
        <v>0</v>
      </c>
      <c r="AW154" s="40">
        <f>H154*AO154</f>
        <v>0</v>
      </c>
      <c r="AX154" s="40">
        <f>H154*AP154</f>
        <v>0</v>
      </c>
      <c r="AY154" s="38" t="s">
        <v>344</v>
      </c>
      <c r="AZ154" s="38" t="s">
        <v>208</v>
      </c>
      <c r="BA154" s="31" t="s">
        <v>427</v>
      </c>
      <c r="BC154" s="40">
        <f>AW154+AX154</f>
        <v>0</v>
      </c>
      <c r="BD154" s="40">
        <f>I154/(100-BE154)*100</f>
        <v>0</v>
      </c>
      <c r="BE154" s="40">
        <v>0</v>
      </c>
      <c r="BF154" s="40">
        <f>154</f>
        <v>154</v>
      </c>
      <c r="BH154" s="40">
        <f>H154*AO154</f>
        <v>0</v>
      </c>
      <c r="BI154" s="40">
        <f>H154*AP154</f>
        <v>0</v>
      </c>
      <c r="BJ154" s="40">
        <f>H154*I154</f>
        <v>0</v>
      </c>
      <c r="BK154" s="40"/>
      <c r="BL154" s="40">
        <v>95</v>
      </c>
    </row>
    <row r="155" spans="1:64" ht="15" customHeight="1">
      <c r="A155" s="9" t="s">
        <v>75</v>
      </c>
      <c r="B155" s="33" t="s">
        <v>381</v>
      </c>
      <c r="C155" s="61" t="s">
        <v>578</v>
      </c>
      <c r="D155" s="61"/>
      <c r="E155" s="61"/>
      <c r="F155" s="61"/>
      <c r="G155" s="33" t="s">
        <v>154</v>
      </c>
      <c r="H155" s="40">
        <v>1</v>
      </c>
      <c r="I155" s="40">
        <v>0</v>
      </c>
      <c r="J155" s="40">
        <f>H155*AO155</f>
        <v>0</v>
      </c>
      <c r="K155" s="40">
        <f>H155*AP155</f>
        <v>0</v>
      </c>
      <c r="L155" s="40">
        <f>H155*I155</f>
        <v>0</v>
      </c>
      <c r="M155" s="19" t="s">
        <v>216</v>
      </c>
      <c r="Z155" s="40">
        <f>IF(AQ155="5",BJ155,0)</f>
        <v>0</v>
      </c>
      <c r="AB155" s="40">
        <f>IF(AQ155="1",BH155,0)</f>
        <v>0</v>
      </c>
      <c r="AC155" s="40">
        <f>IF(AQ155="1",BI155,0)</f>
        <v>0</v>
      </c>
      <c r="AD155" s="40">
        <f>IF(AQ155="7",BH155,0)</f>
        <v>0</v>
      </c>
      <c r="AE155" s="40">
        <f>IF(AQ155="7",BI155,0)</f>
        <v>0</v>
      </c>
      <c r="AF155" s="40">
        <f>IF(AQ155="2",BH155,0)</f>
        <v>0</v>
      </c>
      <c r="AG155" s="40">
        <f>IF(AQ155="2",BI155,0)</f>
        <v>0</v>
      </c>
      <c r="AH155" s="40">
        <f>IF(AQ155="0",BJ155,0)</f>
        <v>0</v>
      </c>
      <c r="AI155" s="31" t="s">
        <v>391</v>
      </c>
      <c r="AJ155" s="40">
        <f>IF(AN155=0,L155,0)</f>
        <v>0</v>
      </c>
      <c r="AK155" s="40">
        <f>IF(AN155=15,L155,0)</f>
        <v>0</v>
      </c>
      <c r="AL155" s="40">
        <f>IF(AN155=21,L155,0)</f>
        <v>0</v>
      </c>
      <c r="AN155" s="40">
        <v>21</v>
      </c>
      <c r="AO155" s="40">
        <f>I155*1</f>
        <v>0</v>
      </c>
      <c r="AP155" s="40">
        <f>I155*(1-1)</f>
        <v>0</v>
      </c>
      <c r="AQ155" s="38" t="s">
        <v>548</v>
      </c>
      <c r="AV155" s="40">
        <f>AW155+AX155</f>
        <v>0</v>
      </c>
      <c r="AW155" s="40">
        <f>H155*AO155</f>
        <v>0</v>
      </c>
      <c r="AX155" s="40">
        <f>H155*AP155</f>
        <v>0</v>
      </c>
      <c r="AY155" s="38" t="s">
        <v>344</v>
      </c>
      <c r="AZ155" s="38" t="s">
        <v>208</v>
      </c>
      <c r="BA155" s="31" t="s">
        <v>427</v>
      </c>
      <c r="BC155" s="40">
        <f>AW155+AX155</f>
        <v>0</v>
      </c>
      <c r="BD155" s="40">
        <f>I155/(100-BE155)*100</f>
        <v>0</v>
      </c>
      <c r="BE155" s="40">
        <v>0</v>
      </c>
      <c r="BF155" s="40">
        <f>155</f>
        <v>155</v>
      </c>
      <c r="BH155" s="40">
        <f>H155*AO155</f>
        <v>0</v>
      </c>
      <c r="BI155" s="40">
        <f>H155*AP155</f>
        <v>0</v>
      </c>
      <c r="BJ155" s="40">
        <f>H155*I155</f>
        <v>0</v>
      </c>
      <c r="BK155" s="40"/>
      <c r="BL155" s="40">
        <v>95</v>
      </c>
    </row>
    <row r="156" spans="1:64" ht="15" customHeight="1">
      <c r="A156" s="9" t="s">
        <v>227</v>
      </c>
      <c r="B156" s="33" t="s">
        <v>494</v>
      </c>
      <c r="C156" s="61" t="s">
        <v>185</v>
      </c>
      <c r="D156" s="61"/>
      <c r="E156" s="61"/>
      <c r="F156" s="61"/>
      <c r="G156" s="33" t="s">
        <v>543</v>
      </c>
      <c r="H156" s="40">
        <v>48.375</v>
      </c>
      <c r="I156" s="40">
        <v>0</v>
      </c>
      <c r="J156" s="40">
        <f>H156*AO156</f>
        <v>0</v>
      </c>
      <c r="K156" s="40">
        <f>H156*AP156</f>
        <v>0</v>
      </c>
      <c r="L156" s="40">
        <f>H156*I156</f>
        <v>0</v>
      </c>
      <c r="M156" s="19" t="s">
        <v>216</v>
      </c>
      <c r="Z156" s="40">
        <f>IF(AQ156="5",BJ156,0)</f>
        <v>0</v>
      </c>
      <c r="AB156" s="40">
        <f>IF(AQ156="1",BH156,0)</f>
        <v>0</v>
      </c>
      <c r="AC156" s="40">
        <f>IF(AQ156="1",BI156,0)</f>
        <v>0</v>
      </c>
      <c r="AD156" s="40">
        <f>IF(AQ156="7",BH156,0)</f>
        <v>0</v>
      </c>
      <c r="AE156" s="40">
        <f>IF(AQ156="7",BI156,0)</f>
        <v>0</v>
      </c>
      <c r="AF156" s="40">
        <f>IF(AQ156="2",BH156,0)</f>
        <v>0</v>
      </c>
      <c r="AG156" s="40">
        <f>IF(AQ156="2",BI156,0)</f>
        <v>0</v>
      </c>
      <c r="AH156" s="40">
        <f>IF(AQ156="0",BJ156,0)</f>
        <v>0</v>
      </c>
      <c r="AI156" s="31" t="s">
        <v>391</v>
      </c>
      <c r="AJ156" s="40">
        <f>IF(AN156=0,L156,0)</f>
        <v>0</v>
      </c>
      <c r="AK156" s="40">
        <f>IF(AN156=15,L156,0)</f>
        <v>0</v>
      </c>
      <c r="AL156" s="40">
        <f>IF(AN156=21,L156,0)</f>
        <v>0</v>
      </c>
      <c r="AN156" s="40">
        <v>21</v>
      </c>
      <c r="AO156" s="40">
        <f>I156*0.0120784372008276</f>
        <v>0</v>
      </c>
      <c r="AP156" s="40">
        <f>I156*(1-0.0120784372008276)</f>
        <v>0</v>
      </c>
      <c r="AQ156" s="38" t="s">
        <v>548</v>
      </c>
      <c r="AV156" s="40">
        <f>AW156+AX156</f>
        <v>0</v>
      </c>
      <c r="AW156" s="40">
        <f>H156*AO156</f>
        <v>0</v>
      </c>
      <c r="AX156" s="40">
        <f>H156*AP156</f>
        <v>0</v>
      </c>
      <c r="AY156" s="38" t="s">
        <v>344</v>
      </c>
      <c r="AZ156" s="38" t="s">
        <v>208</v>
      </c>
      <c r="BA156" s="31" t="s">
        <v>427</v>
      </c>
      <c r="BC156" s="40">
        <f>AW156+AX156</f>
        <v>0</v>
      </c>
      <c r="BD156" s="40">
        <f>I156/(100-BE156)*100</f>
        <v>0</v>
      </c>
      <c r="BE156" s="40">
        <v>0</v>
      </c>
      <c r="BF156" s="40">
        <f>156</f>
        <v>156</v>
      </c>
      <c r="BH156" s="40">
        <f>H156*AO156</f>
        <v>0</v>
      </c>
      <c r="BI156" s="40">
        <f>H156*AP156</f>
        <v>0</v>
      </c>
      <c r="BJ156" s="40">
        <f>H156*I156</f>
        <v>0</v>
      </c>
      <c r="BK156" s="40"/>
      <c r="BL156" s="40">
        <v>95</v>
      </c>
    </row>
    <row r="157" spans="1:13" ht="15" customHeight="1">
      <c r="A157" s="55"/>
      <c r="C157" s="14" t="s">
        <v>130</v>
      </c>
      <c r="F157" s="14" t="s">
        <v>391</v>
      </c>
      <c r="H157" s="45">
        <v>48.37500000000001</v>
      </c>
      <c r="M157" s="18"/>
    </row>
    <row r="158" spans="1:64" ht="15" customHeight="1">
      <c r="A158" s="9" t="s">
        <v>318</v>
      </c>
      <c r="B158" s="33" t="s">
        <v>132</v>
      </c>
      <c r="C158" s="61" t="s">
        <v>517</v>
      </c>
      <c r="D158" s="61"/>
      <c r="E158" s="61"/>
      <c r="F158" s="61"/>
      <c r="G158" s="33" t="s">
        <v>491</v>
      </c>
      <c r="H158" s="40">
        <v>5</v>
      </c>
      <c r="I158" s="40">
        <v>0</v>
      </c>
      <c r="J158" s="40">
        <f>H158*AO158</f>
        <v>0</v>
      </c>
      <c r="K158" s="40">
        <f>H158*AP158</f>
        <v>0</v>
      </c>
      <c r="L158" s="40">
        <f>H158*I158</f>
        <v>0</v>
      </c>
      <c r="M158" s="19" t="s">
        <v>391</v>
      </c>
      <c r="Z158" s="40">
        <f>IF(AQ158="5",BJ158,0)</f>
        <v>0</v>
      </c>
      <c r="AB158" s="40">
        <f>IF(AQ158="1",BH158,0)</f>
        <v>0</v>
      </c>
      <c r="AC158" s="40">
        <f>IF(AQ158="1",BI158,0)</f>
        <v>0</v>
      </c>
      <c r="AD158" s="40">
        <f>IF(AQ158="7",BH158,0)</f>
        <v>0</v>
      </c>
      <c r="AE158" s="40">
        <f>IF(AQ158="7",BI158,0)</f>
        <v>0</v>
      </c>
      <c r="AF158" s="40">
        <f>IF(AQ158="2",BH158,0)</f>
        <v>0</v>
      </c>
      <c r="AG158" s="40">
        <f>IF(AQ158="2",BI158,0)</f>
        <v>0</v>
      </c>
      <c r="AH158" s="40">
        <f>IF(AQ158="0",BJ158,0)</f>
        <v>0</v>
      </c>
      <c r="AI158" s="31" t="s">
        <v>391</v>
      </c>
      <c r="AJ158" s="40">
        <f>IF(AN158=0,L158,0)</f>
        <v>0</v>
      </c>
      <c r="AK158" s="40">
        <f>IF(AN158=15,L158,0)</f>
        <v>0</v>
      </c>
      <c r="AL158" s="40">
        <f>IF(AN158=21,L158,0)</f>
        <v>0</v>
      </c>
      <c r="AN158" s="40">
        <v>21</v>
      </c>
      <c r="AO158" s="40">
        <f>I158*0</f>
        <v>0</v>
      </c>
      <c r="AP158" s="40">
        <f>I158*(1-0)</f>
        <v>0</v>
      </c>
      <c r="AQ158" s="38" t="s">
        <v>548</v>
      </c>
      <c r="AV158" s="40">
        <f>AW158+AX158</f>
        <v>0</v>
      </c>
      <c r="AW158" s="40">
        <f>H158*AO158</f>
        <v>0</v>
      </c>
      <c r="AX158" s="40">
        <f>H158*AP158</f>
        <v>0</v>
      </c>
      <c r="AY158" s="38" t="s">
        <v>344</v>
      </c>
      <c r="AZ158" s="38" t="s">
        <v>208</v>
      </c>
      <c r="BA158" s="31" t="s">
        <v>427</v>
      </c>
      <c r="BC158" s="40">
        <f>AW158+AX158</f>
        <v>0</v>
      </c>
      <c r="BD158" s="40">
        <f>I158/(100-BE158)*100</f>
        <v>0</v>
      </c>
      <c r="BE158" s="40">
        <v>0</v>
      </c>
      <c r="BF158" s="40">
        <f>158</f>
        <v>158</v>
      </c>
      <c r="BH158" s="40">
        <f>H158*AO158</f>
        <v>0</v>
      </c>
      <c r="BI158" s="40">
        <f>H158*AP158</f>
        <v>0</v>
      </c>
      <c r="BJ158" s="40">
        <f>H158*I158</f>
        <v>0</v>
      </c>
      <c r="BK158" s="40"/>
      <c r="BL158" s="40">
        <v>95</v>
      </c>
    </row>
    <row r="159" spans="1:47" ht="15" customHeight="1">
      <c r="A159" s="12" t="s">
        <v>391</v>
      </c>
      <c r="B159" s="36" t="s">
        <v>318</v>
      </c>
      <c r="C159" s="76" t="s">
        <v>419</v>
      </c>
      <c r="D159" s="76"/>
      <c r="E159" s="76"/>
      <c r="F159" s="76"/>
      <c r="G159" s="22" t="s">
        <v>513</v>
      </c>
      <c r="H159" s="22" t="s">
        <v>513</v>
      </c>
      <c r="I159" s="22" t="s">
        <v>513</v>
      </c>
      <c r="J159" s="17">
        <f>SUM(J160:J163)</f>
        <v>0</v>
      </c>
      <c r="K159" s="17">
        <f>SUM(K160:K163)</f>
        <v>0</v>
      </c>
      <c r="L159" s="17">
        <f>SUM(L160:L163)</f>
        <v>0</v>
      </c>
      <c r="M159" s="51" t="s">
        <v>391</v>
      </c>
      <c r="AI159" s="31" t="s">
        <v>391</v>
      </c>
      <c r="AS159" s="17">
        <f>SUM(AJ160:AJ163)</f>
        <v>0</v>
      </c>
      <c r="AT159" s="17">
        <f>SUM(AK160:AK163)</f>
        <v>0</v>
      </c>
      <c r="AU159" s="17">
        <f>SUM(AL160:AL163)</f>
        <v>0</v>
      </c>
    </row>
    <row r="160" spans="1:64" ht="15" customHeight="1">
      <c r="A160" s="9" t="s">
        <v>73</v>
      </c>
      <c r="B160" s="33" t="s">
        <v>133</v>
      </c>
      <c r="C160" s="61" t="s">
        <v>221</v>
      </c>
      <c r="D160" s="61"/>
      <c r="E160" s="61"/>
      <c r="F160" s="61"/>
      <c r="G160" s="33" t="s">
        <v>543</v>
      </c>
      <c r="H160" s="40">
        <v>3.001</v>
      </c>
      <c r="I160" s="40">
        <v>0</v>
      </c>
      <c r="J160" s="40">
        <f>H160*AO160</f>
        <v>0</v>
      </c>
      <c r="K160" s="40">
        <f>H160*AP160</f>
        <v>0</v>
      </c>
      <c r="L160" s="40">
        <f>H160*I160</f>
        <v>0</v>
      </c>
      <c r="M160" s="19" t="s">
        <v>216</v>
      </c>
      <c r="Z160" s="40">
        <f>IF(AQ160="5",BJ160,0)</f>
        <v>0</v>
      </c>
      <c r="AB160" s="40">
        <f>IF(AQ160="1",BH160,0)</f>
        <v>0</v>
      </c>
      <c r="AC160" s="40">
        <f>IF(AQ160="1",BI160,0)</f>
        <v>0</v>
      </c>
      <c r="AD160" s="40">
        <f>IF(AQ160="7",BH160,0)</f>
        <v>0</v>
      </c>
      <c r="AE160" s="40">
        <f>IF(AQ160="7",BI160,0)</f>
        <v>0</v>
      </c>
      <c r="AF160" s="40">
        <f>IF(AQ160="2",BH160,0)</f>
        <v>0</v>
      </c>
      <c r="AG160" s="40">
        <f>IF(AQ160="2",BI160,0)</f>
        <v>0</v>
      </c>
      <c r="AH160" s="40">
        <f>IF(AQ160="0",BJ160,0)</f>
        <v>0</v>
      </c>
      <c r="AI160" s="31" t="s">
        <v>391</v>
      </c>
      <c r="AJ160" s="40">
        <f>IF(AN160=0,L160,0)</f>
        <v>0</v>
      </c>
      <c r="AK160" s="40">
        <f>IF(AN160=15,L160,0)</f>
        <v>0</v>
      </c>
      <c r="AL160" s="40">
        <f>IF(AN160=21,L160,0)</f>
        <v>0</v>
      </c>
      <c r="AN160" s="40">
        <v>21</v>
      </c>
      <c r="AO160" s="40">
        <f>I160*0</f>
        <v>0</v>
      </c>
      <c r="AP160" s="40">
        <f>I160*(1-0)</f>
        <v>0</v>
      </c>
      <c r="AQ160" s="38" t="s">
        <v>548</v>
      </c>
      <c r="AV160" s="40">
        <f>AW160+AX160</f>
        <v>0</v>
      </c>
      <c r="AW160" s="40">
        <f>H160*AO160</f>
        <v>0</v>
      </c>
      <c r="AX160" s="40">
        <f>H160*AP160</f>
        <v>0</v>
      </c>
      <c r="AY160" s="38" t="s">
        <v>493</v>
      </c>
      <c r="AZ160" s="38" t="s">
        <v>208</v>
      </c>
      <c r="BA160" s="31" t="s">
        <v>427</v>
      </c>
      <c r="BC160" s="40">
        <f>AW160+AX160</f>
        <v>0</v>
      </c>
      <c r="BD160" s="40">
        <f>I160/(100-BE160)*100</f>
        <v>0</v>
      </c>
      <c r="BE160" s="40">
        <v>0</v>
      </c>
      <c r="BF160" s="40">
        <f>160</f>
        <v>160</v>
      </c>
      <c r="BH160" s="40">
        <f>H160*AO160</f>
        <v>0</v>
      </c>
      <c r="BI160" s="40">
        <f>H160*AP160</f>
        <v>0</v>
      </c>
      <c r="BJ160" s="40">
        <f>H160*I160</f>
        <v>0</v>
      </c>
      <c r="BK160" s="40"/>
      <c r="BL160" s="40">
        <v>96</v>
      </c>
    </row>
    <row r="161" spans="1:13" ht="15" customHeight="1">
      <c r="A161" s="55"/>
      <c r="C161" s="14" t="s">
        <v>384</v>
      </c>
      <c r="F161" s="14" t="s">
        <v>391</v>
      </c>
      <c r="H161" s="45">
        <v>3.0010000000000003</v>
      </c>
      <c r="M161" s="18"/>
    </row>
    <row r="162" spans="1:64" ht="15" customHeight="1">
      <c r="A162" s="9" t="s">
        <v>397</v>
      </c>
      <c r="B162" s="33" t="s">
        <v>424</v>
      </c>
      <c r="C162" s="61" t="s">
        <v>535</v>
      </c>
      <c r="D162" s="61"/>
      <c r="E162" s="61"/>
      <c r="F162" s="61"/>
      <c r="G162" s="33" t="s">
        <v>154</v>
      </c>
      <c r="H162" s="40">
        <v>3</v>
      </c>
      <c r="I162" s="40">
        <v>0</v>
      </c>
      <c r="J162" s="40">
        <f>H162*AO162</f>
        <v>0</v>
      </c>
      <c r="K162" s="40">
        <f>H162*AP162</f>
        <v>0</v>
      </c>
      <c r="L162" s="40">
        <f>H162*I162</f>
        <v>0</v>
      </c>
      <c r="M162" s="19" t="s">
        <v>216</v>
      </c>
      <c r="Z162" s="40">
        <f>IF(AQ162="5",BJ162,0)</f>
        <v>0</v>
      </c>
      <c r="AB162" s="40">
        <f>IF(AQ162="1",BH162,0)</f>
        <v>0</v>
      </c>
      <c r="AC162" s="40">
        <f>IF(AQ162="1",BI162,0)</f>
        <v>0</v>
      </c>
      <c r="AD162" s="40">
        <f>IF(AQ162="7",BH162,0)</f>
        <v>0</v>
      </c>
      <c r="AE162" s="40">
        <f>IF(AQ162="7",BI162,0)</f>
        <v>0</v>
      </c>
      <c r="AF162" s="40">
        <f>IF(AQ162="2",BH162,0)</f>
        <v>0</v>
      </c>
      <c r="AG162" s="40">
        <f>IF(AQ162="2",BI162,0)</f>
        <v>0</v>
      </c>
      <c r="AH162" s="40">
        <f>IF(AQ162="0",BJ162,0)</f>
        <v>0</v>
      </c>
      <c r="AI162" s="31" t="s">
        <v>391</v>
      </c>
      <c r="AJ162" s="40">
        <f>IF(AN162=0,L162,0)</f>
        <v>0</v>
      </c>
      <c r="AK162" s="40">
        <f>IF(AN162=15,L162,0)</f>
        <v>0</v>
      </c>
      <c r="AL162" s="40">
        <f>IF(AN162=21,L162,0)</f>
        <v>0</v>
      </c>
      <c r="AN162" s="40">
        <v>21</v>
      </c>
      <c r="AO162" s="40">
        <f>I162*0</f>
        <v>0</v>
      </c>
      <c r="AP162" s="40">
        <f>I162*(1-0)</f>
        <v>0</v>
      </c>
      <c r="AQ162" s="38" t="s">
        <v>548</v>
      </c>
      <c r="AV162" s="40">
        <f>AW162+AX162</f>
        <v>0</v>
      </c>
      <c r="AW162" s="40">
        <f>H162*AO162</f>
        <v>0</v>
      </c>
      <c r="AX162" s="40">
        <f>H162*AP162</f>
        <v>0</v>
      </c>
      <c r="AY162" s="38" t="s">
        <v>493</v>
      </c>
      <c r="AZ162" s="38" t="s">
        <v>208</v>
      </c>
      <c r="BA162" s="31" t="s">
        <v>427</v>
      </c>
      <c r="BC162" s="40">
        <f>AW162+AX162</f>
        <v>0</v>
      </c>
      <c r="BD162" s="40">
        <f>I162/(100-BE162)*100</f>
        <v>0</v>
      </c>
      <c r="BE162" s="40">
        <v>0</v>
      </c>
      <c r="BF162" s="40">
        <f>162</f>
        <v>162</v>
      </c>
      <c r="BH162" s="40">
        <f>H162*AO162</f>
        <v>0</v>
      </c>
      <c r="BI162" s="40">
        <f>H162*AP162</f>
        <v>0</v>
      </c>
      <c r="BJ162" s="40">
        <f>H162*I162</f>
        <v>0</v>
      </c>
      <c r="BK162" s="40"/>
      <c r="BL162" s="40">
        <v>96</v>
      </c>
    </row>
    <row r="163" spans="1:64" ht="15" customHeight="1">
      <c r="A163" s="9" t="s">
        <v>271</v>
      </c>
      <c r="B163" s="33" t="s">
        <v>226</v>
      </c>
      <c r="C163" s="61" t="s">
        <v>620</v>
      </c>
      <c r="D163" s="61"/>
      <c r="E163" s="61"/>
      <c r="F163" s="61"/>
      <c r="G163" s="33" t="s">
        <v>543</v>
      </c>
      <c r="H163" s="40">
        <v>6.35</v>
      </c>
      <c r="I163" s="40">
        <v>0</v>
      </c>
      <c r="J163" s="40">
        <f>H163*AO163</f>
        <v>0</v>
      </c>
      <c r="K163" s="40">
        <f>H163*AP163</f>
        <v>0</v>
      </c>
      <c r="L163" s="40">
        <f>H163*I163</f>
        <v>0</v>
      </c>
      <c r="M163" s="19" t="s">
        <v>216</v>
      </c>
      <c r="Z163" s="40">
        <f>IF(AQ163="5",BJ163,0)</f>
        <v>0</v>
      </c>
      <c r="AB163" s="40">
        <f>IF(AQ163="1",BH163,0)</f>
        <v>0</v>
      </c>
      <c r="AC163" s="40">
        <f>IF(AQ163="1",BI163,0)</f>
        <v>0</v>
      </c>
      <c r="AD163" s="40">
        <f>IF(AQ163="7",BH163,0)</f>
        <v>0</v>
      </c>
      <c r="AE163" s="40">
        <f>IF(AQ163="7",BI163,0)</f>
        <v>0</v>
      </c>
      <c r="AF163" s="40">
        <f>IF(AQ163="2",BH163,0)</f>
        <v>0</v>
      </c>
      <c r="AG163" s="40">
        <f>IF(AQ163="2",BI163,0)</f>
        <v>0</v>
      </c>
      <c r="AH163" s="40">
        <f>IF(AQ163="0",BJ163,0)</f>
        <v>0</v>
      </c>
      <c r="AI163" s="31" t="s">
        <v>391</v>
      </c>
      <c r="AJ163" s="40">
        <f>IF(AN163=0,L163,0)</f>
        <v>0</v>
      </c>
      <c r="AK163" s="40">
        <f>IF(AN163=15,L163,0)</f>
        <v>0</v>
      </c>
      <c r="AL163" s="40">
        <f>IF(AN163=21,L163,0)</f>
        <v>0</v>
      </c>
      <c r="AN163" s="40">
        <v>21</v>
      </c>
      <c r="AO163" s="40">
        <f>I163*0</f>
        <v>0</v>
      </c>
      <c r="AP163" s="40">
        <f>I163*(1-0)</f>
        <v>0</v>
      </c>
      <c r="AQ163" s="38" t="s">
        <v>548</v>
      </c>
      <c r="AV163" s="40">
        <f>AW163+AX163</f>
        <v>0</v>
      </c>
      <c r="AW163" s="40">
        <f>H163*AO163</f>
        <v>0</v>
      </c>
      <c r="AX163" s="40">
        <f>H163*AP163</f>
        <v>0</v>
      </c>
      <c r="AY163" s="38" t="s">
        <v>493</v>
      </c>
      <c r="AZ163" s="38" t="s">
        <v>208</v>
      </c>
      <c r="BA163" s="31" t="s">
        <v>427</v>
      </c>
      <c r="BC163" s="40">
        <f>AW163+AX163</f>
        <v>0</v>
      </c>
      <c r="BD163" s="40">
        <f>I163/(100-BE163)*100</f>
        <v>0</v>
      </c>
      <c r="BE163" s="40">
        <v>0</v>
      </c>
      <c r="BF163" s="40">
        <f>163</f>
        <v>163</v>
      </c>
      <c r="BH163" s="40">
        <f>H163*AO163</f>
        <v>0</v>
      </c>
      <c r="BI163" s="40">
        <f>H163*AP163</f>
        <v>0</v>
      </c>
      <c r="BJ163" s="40">
        <f>H163*I163</f>
        <v>0</v>
      </c>
      <c r="BK163" s="40"/>
      <c r="BL163" s="40">
        <v>96</v>
      </c>
    </row>
    <row r="164" spans="1:13" ht="15" customHeight="1">
      <c r="A164" s="55"/>
      <c r="C164" s="14" t="s">
        <v>358</v>
      </c>
      <c r="F164" s="14" t="s">
        <v>391</v>
      </c>
      <c r="H164" s="45">
        <v>6.3500000000000005</v>
      </c>
      <c r="M164" s="18"/>
    </row>
    <row r="165" spans="1:47" ht="15" customHeight="1">
      <c r="A165" s="12" t="s">
        <v>391</v>
      </c>
      <c r="B165" s="36" t="s">
        <v>582</v>
      </c>
      <c r="C165" s="76" t="s">
        <v>200</v>
      </c>
      <c r="D165" s="76"/>
      <c r="E165" s="76"/>
      <c r="F165" s="76"/>
      <c r="G165" s="22" t="s">
        <v>513</v>
      </c>
      <c r="H165" s="22" t="s">
        <v>513</v>
      </c>
      <c r="I165" s="22" t="s">
        <v>513</v>
      </c>
      <c r="J165" s="17">
        <f>SUM(J166:J166)</f>
        <v>0</v>
      </c>
      <c r="K165" s="17">
        <f>SUM(K166:K166)</f>
        <v>0</v>
      </c>
      <c r="L165" s="17">
        <f>SUM(L166:L166)</f>
        <v>0</v>
      </c>
      <c r="M165" s="51" t="s">
        <v>391</v>
      </c>
      <c r="AI165" s="31" t="s">
        <v>391</v>
      </c>
      <c r="AS165" s="17">
        <f>SUM(AJ166:AJ166)</f>
        <v>0</v>
      </c>
      <c r="AT165" s="17">
        <f>SUM(AK166:AK166)</f>
        <v>0</v>
      </c>
      <c r="AU165" s="17">
        <f>SUM(AL166:AL166)</f>
        <v>0</v>
      </c>
    </row>
    <row r="166" spans="1:64" ht="15" customHeight="1">
      <c r="A166" s="9" t="s">
        <v>464</v>
      </c>
      <c r="B166" s="33" t="s">
        <v>128</v>
      </c>
      <c r="C166" s="61" t="s">
        <v>108</v>
      </c>
      <c r="D166" s="61"/>
      <c r="E166" s="61"/>
      <c r="F166" s="61"/>
      <c r="G166" s="33" t="s">
        <v>265</v>
      </c>
      <c r="H166" s="40">
        <v>2.896</v>
      </c>
      <c r="I166" s="40">
        <v>0</v>
      </c>
      <c r="J166" s="40">
        <f>H166*AO166</f>
        <v>0</v>
      </c>
      <c r="K166" s="40">
        <f>H166*AP166</f>
        <v>0</v>
      </c>
      <c r="L166" s="40">
        <f>H166*I166</f>
        <v>0</v>
      </c>
      <c r="M166" s="19" t="s">
        <v>216</v>
      </c>
      <c r="Z166" s="40">
        <f>IF(AQ166="5",BJ166,0)</f>
        <v>0</v>
      </c>
      <c r="AB166" s="40">
        <f>IF(AQ166="1",BH166,0)</f>
        <v>0</v>
      </c>
      <c r="AC166" s="40">
        <f>IF(AQ166="1",BI166,0)</f>
        <v>0</v>
      </c>
      <c r="AD166" s="40">
        <f>IF(AQ166="7",BH166,0)</f>
        <v>0</v>
      </c>
      <c r="AE166" s="40">
        <f>IF(AQ166="7",BI166,0)</f>
        <v>0</v>
      </c>
      <c r="AF166" s="40">
        <f>IF(AQ166="2",BH166,0)</f>
        <v>0</v>
      </c>
      <c r="AG166" s="40">
        <f>IF(AQ166="2",BI166,0)</f>
        <v>0</v>
      </c>
      <c r="AH166" s="40">
        <f>IF(AQ166="0",BJ166,0)</f>
        <v>0</v>
      </c>
      <c r="AI166" s="31" t="s">
        <v>391</v>
      </c>
      <c r="AJ166" s="40">
        <f>IF(AN166=0,L166,0)</f>
        <v>0</v>
      </c>
      <c r="AK166" s="40">
        <f>IF(AN166=15,L166,0)</f>
        <v>0</v>
      </c>
      <c r="AL166" s="40">
        <f>IF(AN166=21,L166,0)</f>
        <v>0</v>
      </c>
      <c r="AN166" s="40">
        <v>21</v>
      </c>
      <c r="AO166" s="40">
        <f>I166*0</f>
        <v>0</v>
      </c>
      <c r="AP166" s="40">
        <f>I166*(1-0)</f>
        <v>0</v>
      </c>
      <c r="AQ166" s="38" t="s">
        <v>300</v>
      </c>
      <c r="AV166" s="40">
        <f>AW166+AX166</f>
        <v>0</v>
      </c>
      <c r="AW166" s="40">
        <f>H166*AO166</f>
        <v>0</v>
      </c>
      <c r="AX166" s="40">
        <f>H166*AP166</f>
        <v>0</v>
      </c>
      <c r="AY166" s="38" t="s">
        <v>292</v>
      </c>
      <c r="AZ166" s="38" t="s">
        <v>208</v>
      </c>
      <c r="BA166" s="31" t="s">
        <v>427</v>
      </c>
      <c r="BC166" s="40">
        <f>AW166+AX166</f>
        <v>0</v>
      </c>
      <c r="BD166" s="40">
        <f>I166/(100-BE166)*100</f>
        <v>0</v>
      </c>
      <c r="BE166" s="40">
        <v>0</v>
      </c>
      <c r="BF166" s="40">
        <f>166</f>
        <v>166</v>
      </c>
      <c r="BH166" s="40">
        <f>H166*AO166</f>
        <v>0</v>
      </c>
      <c r="BI166" s="40">
        <f>H166*AP166</f>
        <v>0</v>
      </c>
      <c r="BJ166" s="40">
        <f>H166*I166</f>
        <v>0</v>
      </c>
      <c r="BK166" s="40"/>
      <c r="BL166" s="40"/>
    </row>
    <row r="167" spans="1:13" ht="15" customHeight="1">
      <c r="A167" s="55"/>
      <c r="C167" s="14" t="s">
        <v>526</v>
      </c>
      <c r="F167" s="14" t="s">
        <v>391</v>
      </c>
      <c r="H167" s="45">
        <v>2.8960000000000004</v>
      </c>
      <c r="M167" s="18"/>
    </row>
    <row r="168" spans="1:47" ht="15" customHeight="1">
      <c r="A168" s="12" t="s">
        <v>391</v>
      </c>
      <c r="B168" s="36" t="s">
        <v>94</v>
      </c>
      <c r="C168" s="76" t="s">
        <v>173</v>
      </c>
      <c r="D168" s="76"/>
      <c r="E168" s="76"/>
      <c r="F168" s="76"/>
      <c r="G168" s="22" t="s">
        <v>513</v>
      </c>
      <c r="H168" s="22" t="s">
        <v>513</v>
      </c>
      <c r="I168" s="22" t="s">
        <v>513</v>
      </c>
      <c r="J168" s="17">
        <f>SUM(J169:J196)</f>
        <v>0</v>
      </c>
      <c r="K168" s="17">
        <f>SUM(K169:K196)</f>
        <v>0</v>
      </c>
      <c r="L168" s="17">
        <f>SUM(L169:L196)</f>
        <v>0</v>
      </c>
      <c r="M168" s="51" t="s">
        <v>391</v>
      </c>
      <c r="AI168" s="31" t="s">
        <v>391</v>
      </c>
      <c r="AS168" s="17">
        <f>SUM(AJ169:AJ196)</f>
        <v>0</v>
      </c>
      <c r="AT168" s="17">
        <f>SUM(AK169:AK196)</f>
        <v>0</v>
      </c>
      <c r="AU168" s="17">
        <f>SUM(AL169:AL196)</f>
        <v>0</v>
      </c>
    </row>
    <row r="169" spans="1:64" ht="15" customHeight="1">
      <c r="A169" s="9" t="s">
        <v>507</v>
      </c>
      <c r="B169" s="33" t="s">
        <v>287</v>
      </c>
      <c r="C169" s="61" t="s">
        <v>328</v>
      </c>
      <c r="D169" s="61"/>
      <c r="E169" s="61"/>
      <c r="F169" s="61"/>
      <c r="G169" s="33" t="s">
        <v>469</v>
      </c>
      <c r="H169" s="40">
        <v>20</v>
      </c>
      <c r="I169" s="40">
        <v>0</v>
      </c>
      <c r="J169" s="40">
        <f aca="true" t="shared" si="90" ref="J169:J196">H169*AO169</f>
        <v>0</v>
      </c>
      <c r="K169" s="40">
        <f aca="true" t="shared" si="91" ref="K169:K196">H169*AP169</f>
        <v>0</v>
      </c>
      <c r="L169" s="40">
        <f aca="true" t="shared" si="92" ref="L169:L196">H169*I169</f>
        <v>0</v>
      </c>
      <c r="M169" s="19" t="s">
        <v>473</v>
      </c>
      <c r="Z169" s="40">
        <f aca="true" t="shared" si="93" ref="Z169:Z196">IF(AQ169="5",BJ169,0)</f>
        <v>0</v>
      </c>
      <c r="AB169" s="40">
        <f aca="true" t="shared" si="94" ref="AB169:AB196">IF(AQ169="1",BH169,0)</f>
        <v>0</v>
      </c>
      <c r="AC169" s="40">
        <f aca="true" t="shared" si="95" ref="AC169:AC196">IF(AQ169="1",BI169,0)</f>
        <v>0</v>
      </c>
      <c r="AD169" s="40">
        <f aca="true" t="shared" si="96" ref="AD169:AD196">IF(AQ169="7",BH169,0)</f>
        <v>0</v>
      </c>
      <c r="AE169" s="40">
        <f aca="true" t="shared" si="97" ref="AE169:AE196">IF(AQ169="7",BI169,0)</f>
        <v>0</v>
      </c>
      <c r="AF169" s="40">
        <f aca="true" t="shared" si="98" ref="AF169:AF196">IF(AQ169="2",BH169,0)</f>
        <v>0</v>
      </c>
      <c r="AG169" s="40">
        <f aca="true" t="shared" si="99" ref="AG169:AG196">IF(AQ169="2",BI169,0)</f>
        <v>0</v>
      </c>
      <c r="AH169" s="40">
        <f aca="true" t="shared" si="100" ref="AH169:AH196">IF(AQ169="0",BJ169,0)</f>
        <v>0</v>
      </c>
      <c r="AI169" s="31" t="s">
        <v>391</v>
      </c>
      <c r="AJ169" s="40">
        <f aca="true" t="shared" si="101" ref="AJ169:AJ196">IF(AN169=0,L169,0)</f>
        <v>0</v>
      </c>
      <c r="AK169" s="40">
        <f aca="true" t="shared" si="102" ref="AK169:AK196">IF(AN169=15,L169,0)</f>
        <v>0</v>
      </c>
      <c r="AL169" s="40">
        <f aca="true" t="shared" si="103" ref="AL169:AL196">IF(AN169=21,L169,0)</f>
        <v>0</v>
      </c>
      <c r="AN169" s="40">
        <v>21</v>
      </c>
      <c r="AO169" s="40">
        <f>I169*0.13796875</f>
        <v>0</v>
      </c>
      <c r="AP169" s="40">
        <f>I169*(1-0.13796875)</f>
        <v>0</v>
      </c>
      <c r="AQ169" s="38" t="s">
        <v>385</v>
      </c>
      <c r="AV169" s="40">
        <f aca="true" t="shared" si="104" ref="AV169:AV196">AW169+AX169</f>
        <v>0</v>
      </c>
      <c r="AW169" s="40">
        <f aca="true" t="shared" si="105" ref="AW169:AW196">H169*AO169</f>
        <v>0</v>
      </c>
      <c r="AX169" s="40">
        <f aca="true" t="shared" si="106" ref="AX169:AX196">H169*AP169</f>
        <v>0</v>
      </c>
      <c r="AY169" s="38" t="s">
        <v>574</v>
      </c>
      <c r="AZ169" s="38" t="s">
        <v>208</v>
      </c>
      <c r="BA169" s="31" t="s">
        <v>427</v>
      </c>
      <c r="BC169" s="40">
        <f aca="true" t="shared" si="107" ref="BC169:BC196">AW169+AX169</f>
        <v>0</v>
      </c>
      <c r="BD169" s="40">
        <f aca="true" t="shared" si="108" ref="BD169:BD196">I169/(100-BE169)*100</f>
        <v>0</v>
      </c>
      <c r="BE169" s="40">
        <v>0</v>
      </c>
      <c r="BF169" s="40">
        <f>169</f>
        <v>169</v>
      </c>
      <c r="BH169" s="40">
        <f aca="true" t="shared" si="109" ref="BH169:BH196">H169*AO169</f>
        <v>0</v>
      </c>
      <c r="BI169" s="40">
        <f aca="true" t="shared" si="110" ref="BI169:BI196">H169*AP169</f>
        <v>0</v>
      </c>
      <c r="BJ169" s="40">
        <f aca="true" t="shared" si="111" ref="BJ169:BJ196">H169*I169</f>
        <v>0</v>
      </c>
      <c r="BK169" s="40"/>
      <c r="BL169" s="40"/>
    </row>
    <row r="170" spans="1:64" ht="15" customHeight="1">
      <c r="A170" s="9" t="s">
        <v>488</v>
      </c>
      <c r="B170" s="33" t="s">
        <v>370</v>
      </c>
      <c r="C170" s="61" t="s">
        <v>224</v>
      </c>
      <c r="D170" s="61"/>
      <c r="E170" s="61"/>
      <c r="F170" s="61"/>
      <c r="G170" s="33" t="s">
        <v>469</v>
      </c>
      <c r="H170" s="40">
        <v>15</v>
      </c>
      <c r="I170" s="40">
        <v>0</v>
      </c>
      <c r="J170" s="40">
        <f t="shared" si="90"/>
        <v>0</v>
      </c>
      <c r="K170" s="40">
        <f t="shared" si="91"/>
        <v>0</v>
      </c>
      <c r="L170" s="40">
        <f t="shared" si="92"/>
        <v>0</v>
      </c>
      <c r="M170" s="19" t="s">
        <v>473</v>
      </c>
      <c r="Z170" s="40">
        <f t="shared" si="93"/>
        <v>0</v>
      </c>
      <c r="AB170" s="40">
        <f t="shared" si="94"/>
        <v>0</v>
      </c>
      <c r="AC170" s="40">
        <f t="shared" si="95"/>
        <v>0</v>
      </c>
      <c r="AD170" s="40">
        <f t="shared" si="96"/>
        <v>0</v>
      </c>
      <c r="AE170" s="40">
        <f t="shared" si="97"/>
        <v>0</v>
      </c>
      <c r="AF170" s="40">
        <f t="shared" si="98"/>
        <v>0</v>
      </c>
      <c r="AG170" s="40">
        <f t="shared" si="99"/>
        <v>0</v>
      </c>
      <c r="AH170" s="40">
        <f t="shared" si="100"/>
        <v>0</v>
      </c>
      <c r="AI170" s="31" t="s">
        <v>391</v>
      </c>
      <c r="AJ170" s="40">
        <f t="shared" si="101"/>
        <v>0</v>
      </c>
      <c r="AK170" s="40">
        <f t="shared" si="102"/>
        <v>0</v>
      </c>
      <c r="AL170" s="40">
        <f t="shared" si="103"/>
        <v>0</v>
      </c>
      <c r="AN170" s="40">
        <v>21</v>
      </c>
      <c r="AO170" s="40">
        <f>I170*0</f>
        <v>0</v>
      </c>
      <c r="AP170" s="40">
        <f>I170*(1-0)</f>
        <v>0</v>
      </c>
      <c r="AQ170" s="38" t="s">
        <v>385</v>
      </c>
      <c r="AV170" s="40">
        <f t="shared" si="104"/>
        <v>0</v>
      </c>
      <c r="AW170" s="40">
        <f t="shared" si="105"/>
        <v>0</v>
      </c>
      <c r="AX170" s="40">
        <f t="shared" si="106"/>
        <v>0</v>
      </c>
      <c r="AY170" s="38" t="s">
        <v>574</v>
      </c>
      <c r="AZ170" s="38" t="s">
        <v>208</v>
      </c>
      <c r="BA170" s="31" t="s">
        <v>427</v>
      </c>
      <c r="BC170" s="40">
        <f t="shared" si="107"/>
        <v>0</v>
      </c>
      <c r="BD170" s="40">
        <f t="shared" si="108"/>
        <v>0</v>
      </c>
      <c r="BE170" s="40">
        <v>0</v>
      </c>
      <c r="BF170" s="40">
        <f>170</f>
        <v>170</v>
      </c>
      <c r="BH170" s="40">
        <f t="shared" si="109"/>
        <v>0</v>
      </c>
      <c r="BI170" s="40">
        <f t="shared" si="110"/>
        <v>0</v>
      </c>
      <c r="BJ170" s="40">
        <f t="shared" si="111"/>
        <v>0</v>
      </c>
      <c r="BK170" s="40"/>
      <c r="BL170" s="40"/>
    </row>
    <row r="171" spans="1:64" ht="15" customHeight="1">
      <c r="A171" s="9" t="s">
        <v>11</v>
      </c>
      <c r="B171" s="33" t="s">
        <v>149</v>
      </c>
      <c r="C171" s="61" t="s">
        <v>218</v>
      </c>
      <c r="D171" s="61"/>
      <c r="E171" s="61"/>
      <c r="F171" s="61"/>
      <c r="G171" s="33" t="s">
        <v>469</v>
      </c>
      <c r="H171" s="40">
        <v>4</v>
      </c>
      <c r="I171" s="40">
        <v>0</v>
      </c>
      <c r="J171" s="40">
        <f t="shared" si="90"/>
        <v>0</v>
      </c>
      <c r="K171" s="40">
        <f t="shared" si="91"/>
        <v>0</v>
      </c>
      <c r="L171" s="40">
        <f t="shared" si="92"/>
        <v>0</v>
      </c>
      <c r="M171" s="19" t="s">
        <v>473</v>
      </c>
      <c r="Z171" s="40">
        <f t="shared" si="93"/>
        <v>0</v>
      </c>
      <c r="AB171" s="40">
        <f t="shared" si="94"/>
        <v>0</v>
      </c>
      <c r="AC171" s="40">
        <f t="shared" si="95"/>
        <v>0</v>
      </c>
      <c r="AD171" s="40">
        <f t="shared" si="96"/>
        <v>0</v>
      </c>
      <c r="AE171" s="40">
        <f t="shared" si="97"/>
        <v>0</v>
      </c>
      <c r="AF171" s="40">
        <f t="shared" si="98"/>
        <v>0</v>
      </c>
      <c r="AG171" s="40">
        <f t="shared" si="99"/>
        <v>0</v>
      </c>
      <c r="AH171" s="40">
        <f t="shared" si="100"/>
        <v>0</v>
      </c>
      <c r="AI171" s="31" t="s">
        <v>391</v>
      </c>
      <c r="AJ171" s="40">
        <f t="shared" si="101"/>
        <v>0</v>
      </c>
      <c r="AK171" s="40">
        <f t="shared" si="102"/>
        <v>0</v>
      </c>
      <c r="AL171" s="40">
        <f t="shared" si="103"/>
        <v>0</v>
      </c>
      <c r="AN171" s="40">
        <v>21</v>
      </c>
      <c r="AO171" s="40">
        <f>I171*0.0639672145752595</f>
        <v>0</v>
      </c>
      <c r="AP171" s="40">
        <f>I171*(1-0.0639672145752595)</f>
        <v>0</v>
      </c>
      <c r="AQ171" s="38" t="s">
        <v>548</v>
      </c>
      <c r="AV171" s="40">
        <f t="shared" si="104"/>
        <v>0</v>
      </c>
      <c r="AW171" s="40">
        <f t="shared" si="105"/>
        <v>0</v>
      </c>
      <c r="AX171" s="40">
        <f t="shared" si="106"/>
        <v>0</v>
      </c>
      <c r="AY171" s="38" t="s">
        <v>574</v>
      </c>
      <c r="AZ171" s="38" t="s">
        <v>208</v>
      </c>
      <c r="BA171" s="31" t="s">
        <v>427</v>
      </c>
      <c r="BC171" s="40">
        <f t="shared" si="107"/>
        <v>0</v>
      </c>
      <c r="BD171" s="40">
        <f t="shared" si="108"/>
        <v>0</v>
      </c>
      <c r="BE171" s="40">
        <v>0</v>
      </c>
      <c r="BF171" s="40">
        <f>171</f>
        <v>171</v>
      </c>
      <c r="BH171" s="40">
        <f t="shared" si="109"/>
        <v>0</v>
      </c>
      <c r="BI171" s="40">
        <f t="shared" si="110"/>
        <v>0</v>
      </c>
      <c r="BJ171" s="40">
        <f t="shared" si="111"/>
        <v>0</v>
      </c>
      <c r="BK171" s="40"/>
      <c r="BL171" s="40"/>
    </row>
    <row r="172" spans="1:64" ht="15" customHeight="1">
      <c r="A172" s="9" t="s">
        <v>222</v>
      </c>
      <c r="B172" s="33" t="s">
        <v>262</v>
      </c>
      <c r="C172" s="61" t="s">
        <v>240</v>
      </c>
      <c r="D172" s="61"/>
      <c r="E172" s="61"/>
      <c r="F172" s="61"/>
      <c r="G172" s="33" t="s">
        <v>469</v>
      </c>
      <c r="H172" s="40">
        <v>5</v>
      </c>
      <c r="I172" s="40">
        <v>0</v>
      </c>
      <c r="J172" s="40">
        <f t="shared" si="90"/>
        <v>0</v>
      </c>
      <c r="K172" s="40">
        <f t="shared" si="91"/>
        <v>0</v>
      </c>
      <c r="L172" s="40">
        <f t="shared" si="92"/>
        <v>0</v>
      </c>
      <c r="M172" s="19" t="s">
        <v>473</v>
      </c>
      <c r="Z172" s="40">
        <f t="shared" si="93"/>
        <v>0</v>
      </c>
      <c r="AB172" s="40">
        <f t="shared" si="94"/>
        <v>0</v>
      </c>
      <c r="AC172" s="40">
        <f t="shared" si="95"/>
        <v>0</v>
      </c>
      <c r="AD172" s="40">
        <f t="shared" si="96"/>
        <v>0</v>
      </c>
      <c r="AE172" s="40">
        <f t="shared" si="97"/>
        <v>0</v>
      </c>
      <c r="AF172" s="40">
        <f t="shared" si="98"/>
        <v>0</v>
      </c>
      <c r="AG172" s="40">
        <f t="shared" si="99"/>
        <v>0</v>
      </c>
      <c r="AH172" s="40">
        <f t="shared" si="100"/>
        <v>0</v>
      </c>
      <c r="AI172" s="31" t="s">
        <v>391</v>
      </c>
      <c r="AJ172" s="40">
        <f t="shared" si="101"/>
        <v>0</v>
      </c>
      <c r="AK172" s="40">
        <f t="shared" si="102"/>
        <v>0</v>
      </c>
      <c r="AL172" s="40">
        <f t="shared" si="103"/>
        <v>0</v>
      </c>
      <c r="AN172" s="40">
        <v>21</v>
      </c>
      <c r="AO172" s="40">
        <f>I172*0</f>
        <v>0</v>
      </c>
      <c r="AP172" s="40">
        <f>I172*(1-0)</f>
        <v>0</v>
      </c>
      <c r="AQ172" s="38" t="s">
        <v>385</v>
      </c>
      <c r="AV172" s="40">
        <f t="shared" si="104"/>
        <v>0</v>
      </c>
      <c r="AW172" s="40">
        <f t="shared" si="105"/>
        <v>0</v>
      </c>
      <c r="AX172" s="40">
        <f t="shared" si="106"/>
        <v>0</v>
      </c>
      <c r="AY172" s="38" t="s">
        <v>574</v>
      </c>
      <c r="AZ172" s="38" t="s">
        <v>208</v>
      </c>
      <c r="BA172" s="31" t="s">
        <v>427</v>
      </c>
      <c r="BC172" s="40">
        <f t="shared" si="107"/>
        <v>0</v>
      </c>
      <c r="BD172" s="40">
        <f t="shared" si="108"/>
        <v>0</v>
      </c>
      <c r="BE172" s="40">
        <v>0</v>
      </c>
      <c r="BF172" s="40">
        <f>172</f>
        <v>172</v>
      </c>
      <c r="BH172" s="40">
        <f t="shared" si="109"/>
        <v>0</v>
      </c>
      <c r="BI172" s="40">
        <f t="shared" si="110"/>
        <v>0</v>
      </c>
      <c r="BJ172" s="40">
        <f t="shared" si="111"/>
        <v>0</v>
      </c>
      <c r="BK172" s="40"/>
      <c r="BL172" s="40"/>
    </row>
    <row r="173" spans="1:64" ht="15" customHeight="1">
      <c r="A173" s="9" t="s">
        <v>84</v>
      </c>
      <c r="B173" s="33" t="s">
        <v>586</v>
      </c>
      <c r="C173" s="61" t="s">
        <v>144</v>
      </c>
      <c r="D173" s="61"/>
      <c r="E173" s="61"/>
      <c r="F173" s="61"/>
      <c r="G173" s="33" t="s">
        <v>469</v>
      </c>
      <c r="H173" s="40">
        <v>19</v>
      </c>
      <c r="I173" s="40">
        <v>0</v>
      </c>
      <c r="J173" s="40">
        <f t="shared" si="90"/>
        <v>0</v>
      </c>
      <c r="K173" s="40">
        <f t="shared" si="91"/>
        <v>0</v>
      </c>
      <c r="L173" s="40">
        <f t="shared" si="92"/>
        <v>0</v>
      </c>
      <c r="M173" s="19" t="s">
        <v>473</v>
      </c>
      <c r="Z173" s="40">
        <f t="shared" si="93"/>
        <v>0</v>
      </c>
      <c r="AB173" s="40">
        <f t="shared" si="94"/>
        <v>0</v>
      </c>
      <c r="AC173" s="40">
        <f t="shared" si="95"/>
        <v>0</v>
      </c>
      <c r="AD173" s="40">
        <f t="shared" si="96"/>
        <v>0</v>
      </c>
      <c r="AE173" s="40">
        <f t="shared" si="97"/>
        <v>0</v>
      </c>
      <c r="AF173" s="40">
        <f t="shared" si="98"/>
        <v>0</v>
      </c>
      <c r="AG173" s="40">
        <f t="shared" si="99"/>
        <v>0</v>
      </c>
      <c r="AH173" s="40">
        <f t="shared" si="100"/>
        <v>0</v>
      </c>
      <c r="AI173" s="31" t="s">
        <v>391</v>
      </c>
      <c r="AJ173" s="40">
        <f t="shared" si="101"/>
        <v>0</v>
      </c>
      <c r="AK173" s="40">
        <f t="shared" si="102"/>
        <v>0</v>
      </c>
      <c r="AL173" s="40">
        <f t="shared" si="103"/>
        <v>0</v>
      </c>
      <c r="AN173" s="40">
        <v>21</v>
      </c>
      <c r="AO173" s="40">
        <f>I173*0.148041237113402</f>
        <v>0</v>
      </c>
      <c r="AP173" s="40">
        <f>I173*(1-0.148041237113402)</f>
        <v>0</v>
      </c>
      <c r="AQ173" s="38" t="s">
        <v>548</v>
      </c>
      <c r="AV173" s="40">
        <f t="shared" si="104"/>
        <v>0</v>
      </c>
      <c r="AW173" s="40">
        <f t="shared" si="105"/>
        <v>0</v>
      </c>
      <c r="AX173" s="40">
        <f t="shared" si="106"/>
        <v>0</v>
      </c>
      <c r="AY173" s="38" t="s">
        <v>574</v>
      </c>
      <c r="AZ173" s="38" t="s">
        <v>208</v>
      </c>
      <c r="BA173" s="31" t="s">
        <v>427</v>
      </c>
      <c r="BC173" s="40">
        <f t="shared" si="107"/>
        <v>0</v>
      </c>
      <c r="BD173" s="40">
        <f t="shared" si="108"/>
        <v>0</v>
      </c>
      <c r="BE173" s="40">
        <v>0</v>
      </c>
      <c r="BF173" s="40">
        <f>173</f>
        <v>173</v>
      </c>
      <c r="BH173" s="40">
        <f t="shared" si="109"/>
        <v>0</v>
      </c>
      <c r="BI173" s="40">
        <f t="shared" si="110"/>
        <v>0</v>
      </c>
      <c r="BJ173" s="40">
        <f t="shared" si="111"/>
        <v>0</v>
      </c>
      <c r="BK173" s="40"/>
      <c r="BL173" s="40"/>
    </row>
    <row r="174" spans="1:64" ht="15" customHeight="1">
      <c r="A174" s="9" t="s">
        <v>610</v>
      </c>
      <c r="B174" s="33" t="s">
        <v>395</v>
      </c>
      <c r="C174" s="61" t="s">
        <v>31</v>
      </c>
      <c r="D174" s="61"/>
      <c r="E174" s="61"/>
      <c r="F174" s="61"/>
      <c r="G174" s="33" t="s">
        <v>469</v>
      </c>
      <c r="H174" s="40">
        <v>20</v>
      </c>
      <c r="I174" s="40">
        <v>0</v>
      </c>
      <c r="J174" s="40">
        <f t="shared" si="90"/>
        <v>0</v>
      </c>
      <c r="K174" s="40">
        <f t="shared" si="91"/>
        <v>0</v>
      </c>
      <c r="L174" s="40">
        <f t="shared" si="92"/>
        <v>0</v>
      </c>
      <c r="M174" s="19" t="s">
        <v>473</v>
      </c>
      <c r="Z174" s="40">
        <f t="shared" si="93"/>
        <v>0</v>
      </c>
      <c r="AB174" s="40">
        <f t="shared" si="94"/>
        <v>0</v>
      </c>
      <c r="AC174" s="40">
        <f t="shared" si="95"/>
        <v>0</v>
      </c>
      <c r="AD174" s="40">
        <f t="shared" si="96"/>
        <v>0</v>
      </c>
      <c r="AE174" s="40">
        <f t="shared" si="97"/>
        <v>0</v>
      </c>
      <c r="AF174" s="40">
        <f t="shared" si="98"/>
        <v>0</v>
      </c>
      <c r="AG174" s="40">
        <f t="shared" si="99"/>
        <v>0</v>
      </c>
      <c r="AH174" s="40">
        <f t="shared" si="100"/>
        <v>0</v>
      </c>
      <c r="AI174" s="31" t="s">
        <v>391</v>
      </c>
      <c r="AJ174" s="40">
        <f t="shared" si="101"/>
        <v>0</v>
      </c>
      <c r="AK174" s="40">
        <f t="shared" si="102"/>
        <v>0</v>
      </c>
      <c r="AL174" s="40">
        <f t="shared" si="103"/>
        <v>0</v>
      </c>
      <c r="AN174" s="40">
        <v>21</v>
      </c>
      <c r="AO174" s="40">
        <f>I174*0.476803394625177</f>
        <v>0</v>
      </c>
      <c r="AP174" s="40">
        <f>I174*(1-0.476803394625177)</f>
        <v>0</v>
      </c>
      <c r="AQ174" s="38" t="s">
        <v>385</v>
      </c>
      <c r="AV174" s="40">
        <f t="shared" si="104"/>
        <v>0</v>
      </c>
      <c r="AW174" s="40">
        <f t="shared" si="105"/>
        <v>0</v>
      </c>
      <c r="AX174" s="40">
        <f t="shared" si="106"/>
        <v>0</v>
      </c>
      <c r="AY174" s="38" t="s">
        <v>574</v>
      </c>
      <c r="AZ174" s="38" t="s">
        <v>208</v>
      </c>
      <c r="BA174" s="31" t="s">
        <v>427</v>
      </c>
      <c r="BC174" s="40">
        <f t="shared" si="107"/>
        <v>0</v>
      </c>
      <c r="BD174" s="40">
        <f t="shared" si="108"/>
        <v>0</v>
      </c>
      <c r="BE174" s="40">
        <v>0</v>
      </c>
      <c r="BF174" s="40">
        <f>174</f>
        <v>174</v>
      </c>
      <c r="BH174" s="40">
        <f t="shared" si="109"/>
        <v>0</v>
      </c>
      <c r="BI174" s="40">
        <f t="shared" si="110"/>
        <v>0</v>
      </c>
      <c r="BJ174" s="40">
        <f t="shared" si="111"/>
        <v>0</v>
      </c>
      <c r="BK174" s="40"/>
      <c r="BL174" s="40"/>
    </row>
    <row r="175" spans="1:64" ht="15" customHeight="1">
      <c r="A175" s="9" t="s">
        <v>273</v>
      </c>
      <c r="B175" s="33" t="s">
        <v>112</v>
      </c>
      <c r="C175" s="61" t="s">
        <v>415</v>
      </c>
      <c r="D175" s="61"/>
      <c r="E175" s="61"/>
      <c r="F175" s="61"/>
      <c r="G175" s="33" t="s">
        <v>469</v>
      </c>
      <c r="H175" s="40">
        <v>20</v>
      </c>
      <c r="I175" s="40">
        <v>0</v>
      </c>
      <c r="J175" s="40">
        <f t="shared" si="90"/>
        <v>0</v>
      </c>
      <c r="K175" s="40">
        <f t="shared" si="91"/>
        <v>0</v>
      </c>
      <c r="L175" s="40">
        <f t="shared" si="92"/>
        <v>0</v>
      </c>
      <c r="M175" s="19" t="s">
        <v>473</v>
      </c>
      <c r="Z175" s="40">
        <f t="shared" si="93"/>
        <v>0</v>
      </c>
      <c r="AB175" s="40">
        <f t="shared" si="94"/>
        <v>0</v>
      </c>
      <c r="AC175" s="40">
        <f t="shared" si="95"/>
        <v>0</v>
      </c>
      <c r="AD175" s="40">
        <f t="shared" si="96"/>
        <v>0</v>
      </c>
      <c r="AE175" s="40">
        <f t="shared" si="97"/>
        <v>0</v>
      </c>
      <c r="AF175" s="40">
        <f t="shared" si="98"/>
        <v>0</v>
      </c>
      <c r="AG175" s="40">
        <f t="shared" si="99"/>
        <v>0</v>
      </c>
      <c r="AH175" s="40">
        <f t="shared" si="100"/>
        <v>0</v>
      </c>
      <c r="AI175" s="31" t="s">
        <v>391</v>
      </c>
      <c r="AJ175" s="40">
        <f t="shared" si="101"/>
        <v>0</v>
      </c>
      <c r="AK175" s="40">
        <f t="shared" si="102"/>
        <v>0</v>
      </c>
      <c r="AL175" s="40">
        <f t="shared" si="103"/>
        <v>0</v>
      </c>
      <c r="AN175" s="40">
        <v>21</v>
      </c>
      <c r="AO175" s="40">
        <f>I175*0.358024691358025</f>
        <v>0</v>
      </c>
      <c r="AP175" s="40">
        <f>I175*(1-0.358024691358025)</f>
        <v>0</v>
      </c>
      <c r="AQ175" s="38" t="s">
        <v>385</v>
      </c>
      <c r="AV175" s="40">
        <f t="shared" si="104"/>
        <v>0</v>
      </c>
      <c r="AW175" s="40">
        <f t="shared" si="105"/>
        <v>0</v>
      </c>
      <c r="AX175" s="40">
        <f t="shared" si="106"/>
        <v>0</v>
      </c>
      <c r="AY175" s="38" t="s">
        <v>574</v>
      </c>
      <c r="AZ175" s="38" t="s">
        <v>208</v>
      </c>
      <c r="BA175" s="31" t="s">
        <v>427</v>
      </c>
      <c r="BC175" s="40">
        <f t="shared" si="107"/>
        <v>0</v>
      </c>
      <c r="BD175" s="40">
        <f t="shared" si="108"/>
        <v>0</v>
      </c>
      <c r="BE175" s="40">
        <v>0</v>
      </c>
      <c r="BF175" s="40">
        <f>175</f>
        <v>175</v>
      </c>
      <c r="BH175" s="40">
        <f t="shared" si="109"/>
        <v>0</v>
      </c>
      <c r="BI175" s="40">
        <f t="shared" si="110"/>
        <v>0</v>
      </c>
      <c r="BJ175" s="40">
        <f t="shared" si="111"/>
        <v>0</v>
      </c>
      <c r="BK175" s="40"/>
      <c r="BL175" s="40"/>
    </row>
    <row r="176" spans="1:64" ht="15" customHeight="1">
      <c r="A176" s="9" t="s">
        <v>465</v>
      </c>
      <c r="B176" s="33" t="s">
        <v>79</v>
      </c>
      <c r="C176" s="61" t="s">
        <v>256</v>
      </c>
      <c r="D176" s="61"/>
      <c r="E176" s="61"/>
      <c r="F176" s="61"/>
      <c r="G176" s="33" t="s">
        <v>469</v>
      </c>
      <c r="H176" s="40">
        <v>5</v>
      </c>
      <c r="I176" s="40">
        <v>0</v>
      </c>
      <c r="J176" s="40">
        <f t="shared" si="90"/>
        <v>0</v>
      </c>
      <c r="K176" s="40">
        <f t="shared" si="91"/>
        <v>0</v>
      </c>
      <c r="L176" s="40">
        <f t="shared" si="92"/>
        <v>0</v>
      </c>
      <c r="M176" s="19" t="s">
        <v>473</v>
      </c>
      <c r="Z176" s="40">
        <f t="shared" si="93"/>
        <v>0</v>
      </c>
      <c r="AB176" s="40">
        <f t="shared" si="94"/>
        <v>0</v>
      </c>
      <c r="AC176" s="40">
        <f t="shared" si="95"/>
        <v>0</v>
      </c>
      <c r="AD176" s="40">
        <f t="shared" si="96"/>
        <v>0</v>
      </c>
      <c r="AE176" s="40">
        <f t="shared" si="97"/>
        <v>0</v>
      </c>
      <c r="AF176" s="40">
        <f t="shared" si="98"/>
        <v>0</v>
      </c>
      <c r="AG176" s="40">
        <f t="shared" si="99"/>
        <v>0</v>
      </c>
      <c r="AH176" s="40">
        <f t="shared" si="100"/>
        <v>0</v>
      </c>
      <c r="AI176" s="31" t="s">
        <v>391</v>
      </c>
      <c r="AJ176" s="40">
        <f t="shared" si="101"/>
        <v>0</v>
      </c>
      <c r="AK176" s="40">
        <f t="shared" si="102"/>
        <v>0</v>
      </c>
      <c r="AL176" s="40">
        <f t="shared" si="103"/>
        <v>0</v>
      </c>
      <c r="AN176" s="40">
        <v>21</v>
      </c>
      <c r="AO176" s="40">
        <f>I176*0.478279266572637</f>
        <v>0</v>
      </c>
      <c r="AP176" s="40">
        <f>I176*(1-0.478279266572637)</f>
        <v>0</v>
      </c>
      <c r="AQ176" s="38" t="s">
        <v>385</v>
      </c>
      <c r="AV176" s="40">
        <f t="shared" si="104"/>
        <v>0</v>
      </c>
      <c r="AW176" s="40">
        <f t="shared" si="105"/>
        <v>0</v>
      </c>
      <c r="AX176" s="40">
        <f t="shared" si="106"/>
        <v>0</v>
      </c>
      <c r="AY176" s="38" t="s">
        <v>574</v>
      </c>
      <c r="AZ176" s="38" t="s">
        <v>208</v>
      </c>
      <c r="BA176" s="31" t="s">
        <v>427</v>
      </c>
      <c r="BC176" s="40">
        <f t="shared" si="107"/>
        <v>0</v>
      </c>
      <c r="BD176" s="40">
        <f t="shared" si="108"/>
        <v>0</v>
      </c>
      <c r="BE176" s="40">
        <v>0</v>
      </c>
      <c r="BF176" s="40">
        <f>176</f>
        <v>176</v>
      </c>
      <c r="BH176" s="40">
        <f t="shared" si="109"/>
        <v>0</v>
      </c>
      <c r="BI176" s="40">
        <f t="shared" si="110"/>
        <v>0</v>
      </c>
      <c r="BJ176" s="40">
        <f t="shared" si="111"/>
        <v>0</v>
      </c>
      <c r="BK176" s="40"/>
      <c r="BL176" s="40"/>
    </row>
    <row r="177" spans="1:64" ht="15" customHeight="1">
      <c r="A177" s="9" t="s">
        <v>264</v>
      </c>
      <c r="B177" s="33" t="s">
        <v>312</v>
      </c>
      <c r="C177" s="61" t="s">
        <v>567</v>
      </c>
      <c r="D177" s="61"/>
      <c r="E177" s="61"/>
      <c r="F177" s="61"/>
      <c r="G177" s="33" t="s">
        <v>469</v>
      </c>
      <c r="H177" s="40">
        <v>4</v>
      </c>
      <c r="I177" s="40">
        <v>0</v>
      </c>
      <c r="J177" s="40">
        <f t="shared" si="90"/>
        <v>0</v>
      </c>
      <c r="K177" s="40">
        <f t="shared" si="91"/>
        <v>0</v>
      </c>
      <c r="L177" s="40">
        <f t="shared" si="92"/>
        <v>0</v>
      </c>
      <c r="M177" s="19" t="s">
        <v>473</v>
      </c>
      <c r="Z177" s="40">
        <f t="shared" si="93"/>
        <v>0</v>
      </c>
      <c r="AB177" s="40">
        <f t="shared" si="94"/>
        <v>0</v>
      </c>
      <c r="AC177" s="40">
        <f t="shared" si="95"/>
        <v>0</v>
      </c>
      <c r="AD177" s="40">
        <f t="shared" si="96"/>
        <v>0</v>
      </c>
      <c r="AE177" s="40">
        <f t="shared" si="97"/>
        <v>0</v>
      </c>
      <c r="AF177" s="40">
        <f t="shared" si="98"/>
        <v>0</v>
      </c>
      <c r="AG177" s="40">
        <f t="shared" si="99"/>
        <v>0</v>
      </c>
      <c r="AH177" s="40">
        <f t="shared" si="100"/>
        <v>0</v>
      </c>
      <c r="AI177" s="31" t="s">
        <v>391</v>
      </c>
      <c r="AJ177" s="40">
        <f t="shared" si="101"/>
        <v>0</v>
      </c>
      <c r="AK177" s="40">
        <f t="shared" si="102"/>
        <v>0</v>
      </c>
      <c r="AL177" s="40">
        <f t="shared" si="103"/>
        <v>0</v>
      </c>
      <c r="AN177" s="40">
        <v>21</v>
      </c>
      <c r="AO177" s="40">
        <f aca="true" t="shared" si="112" ref="AO177:AO182">I177*0</f>
        <v>0</v>
      </c>
      <c r="AP177" s="40">
        <f aca="true" t="shared" si="113" ref="AP177:AP182">I177*(1-0)</f>
        <v>0</v>
      </c>
      <c r="AQ177" s="38" t="s">
        <v>385</v>
      </c>
      <c r="AV177" s="40">
        <f t="shared" si="104"/>
        <v>0</v>
      </c>
      <c r="AW177" s="40">
        <f t="shared" si="105"/>
        <v>0</v>
      </c>
      <c r="AX177" s="40">
        <f t="shared" si="106"/>
        <v>0</v>
      </c>
      <c r="AY177" s="38" t="s">
        <v>574</v>
      </c>
      <c r="AZ177" s="38" t="s">
        <v>208</v>
      </c>
      <c r="BA177" s="31" t="s">
        <v>427</v>
      </c>
      <c r="BC177" s="40">
        <f t="shared" si="107"/>
        <v>0</v>
      </c>
      <c r="BD177" s="40">
        <f t="shared" si="108"/>
        <v>0</v>
      </c>
      <c r="BE177" s="40">
        <v>0</v>
      </c>
      <c r="BF177" s="40">
        <f>177</f>
        <v>177</v>
      </c>
      <c r="BH177" s="40">
        <f t="shared" si="109"/>
        <v>0</v>
      </c>
      <c r="BI177" s="40">
        <f t="shared" si="110"/>
        <v>0</v>
      </c>
      <c r="BJ177" s="40">
        <f t="shared" si="111"/>
        <v>0</v>
      </c>
      <c r="BK177" s="40"/>
      <c r="BL177" s="40"/>
    </row>
    <row r="178" spans="1:64" ht="15" customHeight="1">
      <c r="A178" s="9" t="s">
        <v>363</v>
      </c>
      <c r="B178" s="33" t="s">
        <v>278</v>
      </c>
      <c r="C178" s="61" t="s">
        <v>453</v>
      </c>
      <c r="D178" s="61"/>
      <c r="E178" s="61"/>
      <c r="F178" s="61"/>
      <c r="G178" s="33" t="s">
        <v>469</v>
      </c>
      <c r="H178" s="40">
        <v>10</v>
      </c>
      <c r="I178" s="40">
        <v>0</v>
      </c>
      <c r="J178" s="40">
        <f t="shared" si="90"/>
        <v>0</v>
      </c>
      <c r="K178" s="40">
        <f t="shared" si="91"/>
        <v>0</v>
      </c>
      <c r="L178" s="40">
        <f t="shared" si="92"/>
        <v>0</v>
      </c>
      <c r="M178" s="19" t="s">
        <v>473</v>
      </c>
      <c r="Z178" s="40">
        <f t="shared" si="93"/>
        <v>0</v>
      </c>
      <c r="AB178" s="40">
        <f t="shared" si="94"/>
        <v>0</v>
      </c>
      <c r="AC178" s="40">
        <f t="shared" si="95"/>
        <v>0</v>
      </c>
      <c r="AD178" s="40">
        <f t="shared" si="96"/>
        <v>0</v>
      </c>
      <c r="AE178" s="40">
        <f t="shared" si="97"/>
        <v>0</v>
      </c>
      <c r="AF178" s="40">
        <f t="shared" si="98"/>
        <v>0</v>
      </c>
      <c r="AG178" s="40">
        <f t="shared" si="99"/>
        <v>0</v>
      </c>
      <c r="AH178" s="40">
        <f t="shared" si="100"/>
        <v>0</v>
      </c>
      <c r="AI178" s="31" t="s">
        <v>391</v>
      </c>
      <c r="AJ178" s="40">
        <f t="shared" si="101"/>
        <v>0</v>
      </c>
      <c r="AK178" s="40">
        <f t="shared" si="102"/>
        <v>0</v>
      </c>
      <c r="AL178" s="40">
        <f t="shared" si="103"/>
        <v>0</v>
      </c>
      <c r="AN178" s="40">
        <v>21</v>
      </c>
      <c r="AO178" s="40">
        <f t="shared" si="112"/>
        <v>0</v>
      </c>
      <c r="AP178" s="40">
        <f t="shared" si="113"/>
        <v>0</v>
      </c>
      <c r="AQ178" s="38" t="s">
        <v>385</v>
      </c>
      <c r="AV178" s="40">
        <f t="shared" si="104"/>
        <v>0</v>
      </c>
      <c r="AW178" s="40">
        <f t="shared" si="105"/>
        <v>0</v>
      </c>
      <c r="AX178" s="40">
        <f t="shared" si="106"/>
        <v>0</v>
      </c>
      <c r="AY178" s="38" t="s">
        <v>574</v>
      </c>
      <c r="AZ178" s="38" t="s">
        <v>208</v>
      </c>
      <c r="BA178" s="31" t="s">
        <v>427</v>
      </c>
      <c r="BC178" s="40">
        <f t="shared" si="107"/>
        <v>0</v>
      </c>
      <c r="BD178" s="40">
        <f t="shared" si="108"/>
        <v>0</v>
      </c>
      <c r="BE178" s="40">
        <v>0</v>
      </c>
      <c r="BF178" s="40">
        <f>178</f>
        <v>178</v>
      </c>
      <c r="BH178" s="40">
        <f t="shared" si="109"/>
        <v>0</v>
      </c>
      <c r="BI178" s="40">
        <f t="shared" si="110"/>
        <v>0</v>
      </c>
      <c r="BJ178" s="40">
        <f t="shared" si="111"/>
        <v>0</v>
      </c>
      <c r="BK178" s="40"/>
      <c r="BL178" s="40"/>
    </row>
    <row r="179" spans="1:64" ht="15" customHeight="1">
      <c r="A179" s="9" t="s">
        <v>597</v>
      </c>
      <c r="B179" s="33" t="s">
        <v>514</v>
      </c>
      <c r="C179" s="61" t="s">
        <v>390</v>
      </c>
      <c r="D179" s="61"/>
      <c r="E179" s="61"/>
      <c r="F179" s="61"/>
      <c r="G179" s="33" t="s">
        <v>154</v>
      </c>
      <c r="H179" s="40">
        <v>1</v>
      </c>
      <c r="I179" s="40">
        <v>0</v>
      </c>
      <c r="J179" s="40">
        <f t="shared" si="90"/>
        <v>0</v>
      </c>
      <c r="K179" s="40">
        <f t="shared" si="91"/>
        <v>0</v>
      </c>
      <c r="L179" s="40">
        <f t="shared" si="92"/>
        <v>0</v>
      </c>
      <c r="M179" s="19" t="s">
        <v>473</v>
      </c>
      <c r="Z179" s="40">
        <f t="shared" si="93"/>
        <v>0</v>
      </c>
      <c r="AB179" s="40">
        <f t="shared" si="94"/>
        <v>0</v>
      </c>
      <c r="AC179" s="40">
        <f t="shared" si="95"/>
        <v>0</v>
      </c>
      <c r="AD179" s="40">
        <f t="shared" si="96"/>
        <v>0</v>
      </c>
      <c r="AE179" s="40">
        <f t="shared" si="97"/>
        <v>0</v>
      </c>
      <c r="AF179" s="40">
        <f t="shared" si="98"/>
        <v>0</v>
      </c>
      <c r="AG179" s="40">
        <f t="shared" si="99"/>
        <v>0</v>
      </c>
      <c r="AH179" s="40">
        <f t="shared" si="100"/>
        <v>0</v>
      </c>
      <c r="AI179" s="31" t="s">
        <v>391</v>
      </c>
      <c r="AJ179" s="40">
        <f t="shared" si="101"/>
        <v>0</v>
      </c>
      <c r="AK179" s="40">
        <f t="shared" si="102"/>
        <v>0</v>
      </c>
      <c r="AL179" s="40">
        <f t="shared" si="103"/>
        <v>0</v>
      </c>
      <c r="AN179" s="40">
        <v>21</v>
      </c>
      <c r="AO179" s="40">
        <f t="shared" si="112"/>
        <v>0</v>
      </c>
      <c r="AP179" s="40">
        <f t="shared" si="113"/>
        <v>0</v>
      </c>
      <c r="AQ179" s="38" t="s">
        <v>385</v>
      </c>
      <c r="AV179" s="40">
        <f t="shared" si="104"/>
        <v>0</v>
      </c>
      <c r="AW179" s="40">
        <f t="shared" si="105"/>
        <v>0</v>
      </c>
      <c r="AX179" s="40">
        <f t="shared" si="106"/>
        <v>0</v>
      </c>
      <c r="AY179" s="38" t="s">
        <v>574</v>
      </c>
      <c r="AZ179" s="38" t="s">
        <v>208</v>
      </c>
      <c r="BA179" s="31" t="s">
        <v>427</v>
      </c>
      <c r="BC179" s="40">
        <f t="shared" si="107"/>
        <v>0</v>
      </c>
      <c r="BD179" s="40">
        <f t="shared" si="108"/>
        <v>0</v>
      </c>
      <c r="BE179" s="40">
        <v>0</v>
      </c>
      <c r="BF179" s="40">
        <f>179</f>
        <v>179</v>
      </c>
      <c r="BH179" s="40">
        <f t="shared" si="109"/>
        <v>0</v>
      </c>
      <c r="BI179" s="40">
        <f t="shared" si="110"/>
        <v>0</v>
      </c>
      <c r="BJ179" s="40">
        <f t="shared" si="111"/>
        <v>0</v>
      </c>
      <c r="BK179" s="40"/>
      <c r="BL179" s="40"/>
    </row>
    <row r="180" spans="1:64" ht="15" customHeight="1">
      <c r="A180" s="9" t="s">
        <v>398</v>
      </c>
      <c r="B180" s="33" t="s">
        <v>98</v>
      </c>
      <c r="C180" s="61" t="s">
        <v>179</v>
      </c>
      <c r="D180" s="61"/>
      <c r="E180" s="61"/>
      <c r="F180" s="61"/>
      <c r="G180" s="33" t="s">
        <v>154</v>
      </c>
      <c r="H180" s="40">
        <v>1</v>
      </c>
      <c r="I180" s="40">
        <v>0</v>
      </c>
      <c r="J180" s="40">
        <f t="shared" si="90"/>
        <v>0</v>
      </c>
      <c r="K180" s="40">
        <f t="shared" si="91"/>
        <v>0</v>
      </c>
      <c r="L180" s="40">
        <f t="shared" si="92"/>
        <v>0</v>
      </c>
      <c r="M180" s="19" t="s">
        <v>473</v>
      </c>
      <c r="Z180" s="40">
        <f t="shared" si="93"/>
        <v>0</v>
      </c>
      <c r="AB180" s="40">
        <f t="shared" si="94"/>
        <v>0</v>
      </c>
      <c r="AC180" s="40">
        <f t="shared" si="95"/>
        <v>0</v>
      </c>
      <c r="AD180" s="40">
        <f t="shared" si="96"/>
        <v>0</v>
      </c>
      <c r="AE180" s="40">
        <f t="shared" si="97"/>
        <v>0</v>
      </c>
      <c r="AF180" s="40">
        <f t="shared" si="98"/>
        <v>0</v>
      </c>
      <c r="AG180" s="40">
        <f t="shared" si="99"/>
        <v>0</v>
      </c>
      <c r="AH180" s="40">
        <f t="shared" si="100"/>
        <v>0</v>
      </c>
      <c r="AI180" s="31" t="s">
        <v>391</v>
      </c>
      <c r="AJ180" s="40">
        <f t="shared" si="101"/>
        <v>0</v>
      </c>
      <c r="AK180" s="40">
        <f t="shared" si="102"/>
        <v>0</v>
      </c>
      <c r="AL180" s="40">
        <f t="shared" si="103"/>
        <v>0</v>
      </c>
      <c r="AN180" s="40">
        <v>21</v>
      </c>
      <c r="AO180" s="40">
        <f t="shared" si="112"/>
        <v>0</v>
      </c>
      <c r="AP180" s="40">
        <f t="shared" si="113"/>
        <v>0</v>
      </c>
      <c r="AQ180" s="38" t="s">
        <v>385</v>
      </c>
      <c r="AV180" s="40">
        <f t="shared" si="104"/>
        <v>0</v>
      </c>
      <c r="AW180" s="40">
        <f t="shared" si="105"/>
        <v>0</v>
      </c>
      <c r="AX180" s="40">
        <f t="shared" si="106"/>
        <v>0</v>
      </c>
      <c r="AY180" s="38" t="s">
        <v>574</v>
      </c>
      <c r="AZ180" s="38" t="s">
        <v>208</v>
      </c>
      <c r="BA180" s="31" t="s">
        <v>427</v>
      </c>
      <c r="BC180" s="40">
        <f t="shared" si="107"/>
        <v>0</v>
      </c>
      <c r="BD180" s="40">
        <f t="shared" si="108"/>
        <v>0</v>
      </c>
      <c r="BE180" s="40">
        <v>0</v>
      </c>
      <c r="BF180" s="40">
        <f>180</f>
        <v>180</v>
      </c>
      <c r="BH180" s="40">
        <f t="shared" si="109"/>
        <v>0</v>
      </c>
      <c r="BI180" s="40">
        <f t="shared" si="110"/>
        <v>0</v>
      </c>
      <c r="BJ180" s="40">
        <f t="shared" si="111"/>
        <v>0</v>
      </c>
      <c r="BK180" s="40"/>
      <c r="BL180" s="40"/>
    </row>
    <row r="181" spans="1:64" ht="15" customHeight="1">
      <c r="A181" s="9" t="s">
        <v>608</v>
      </c>
      <c r="B181" s="33" t="s">
        <v>232</v>
      </c>
      <c r="C181" s="61" t="s">
        <v>155</v>
      </c>
      <c r="D181" s="61"/>
      <c r="E181" s="61"/>
      <c r="F181" s="61"/>
      <c r="G181" s="33" t="s">
        <v>154</v>
      </c>
      <c r="H181" s="40">
        <v>2</v>
      </c>
      <c r="I181" s="40">
        <v>0</v>
      </c>
      <c r="J181" s="40">
        <f t="shared" si="90"/>
        <v>0</v>
      </c>
      <c r="K181" s="40">
        <f t="shared" si="91"/>
        <v>0</v>
      </c>
      <c r="L181" s="40">
        <f t="shared" si="92"/>
        <v>0</v>
      </c>
      <c r="M181" s="19" t="s">
        <v>473</v>
      </c>
      <c r="Z181" s="40">
        <f t="shared" si="93"/>
        <v>0</v>
      </c>
      <c r="AB181" s="40">
        <f t="shared" si="94"/>
        <v>0</v>
      </c>
      <c r="AC181" s="40">
        <f t="shared" si="95"/>
        <v>0</v>
      </c>
      <c r="AD181" s="40">
        <f t="shared" si="96"/>
        <v>0</v>
      </c>
      <c r="AE181" s="40">
        <f t="shared" si="97"/>
        <v>0</v>
      </c>
      <c r="AF181" s="40">
        <f t="shared" si="98"/>
        <v>0</v>
      </c>
      <c r="AG181" s="40">
        <f t="shared" si="99"/>
        <v>0</v>
      </c>
      <c r="AH181" s="40">
        <f t="shared" si="100"/>
        <v>0</v>
      </c>
      <c r="AI181" s="31" t="s">
        <v>391</v>
      </c>
      <c r="AJ181" s="40">
        <f t="shared" si="101"/>
        <v>0</v>
      </c>
      <c r="AK181" s="40">
        <f t="shared" si="102"/>
        <v>0</v>
      </c>
      <c r="AL181" s="40">
        <f t="shared" si="103"/>
        <v>0</v>
      </c>
      <c r="AN181" s="40">
        <v>21</v>
      </c>
      <c r="AO181" s="40">
        <f t="shared" si="112"/>
        <v>0</v>
      </c>
      <c r="AP181" s="40">
        <f t="shared" si="113"/>
        <v>0</v>
      </c>
      <c r="AQ181" s="38" t="s">
        <v>385</v>
      </c>
      <c r="AV181" s="40">
        <f t="shared" si="104"/>
        <v>0</v>
      </c>
      <c r="AW181" s="40">
        <f t="shared" si="105"/>
        <v>0</v>
      </c>
      <c r="AX181" s="40">
        <f t="shared" si="106"/>
        <v>0</v>
      </c>
      <c r="AY181" s="38" t="s">
        <v>574</v>
      </c>
      <c r="AZ181" s="38" t="s">
        <v>208</v>
      </c>
      <c r="BA181" s="31" t="s">
        <v>427</v>
      </c>
      <c r="BC181" s="40">
        <f t="shared" si="107"/>
        <v>0</v>
      </c>
      <c r="BD181" s="40">
        <f t="shared" si="108"/>
        <v>0</v>
      </c>
      <c r="BE181" s="40">
        <v>0</v>
      </c>
      <c r="BF181" s="40">
        <f>181</f>
        <v>181</v>
      </c>
      <c r="BH181" s="40">
        <f t="shared" si="109"/>
        <v>0</v>
      </c>
      <c r="BI181" s="40">
        <f t="shared" si="110"/>
        <v>0</v>
      </c>
      <c r="BJ181" s="40">
        <f t="shared" si="111"/>
        <v>0</v>
      </c>
      <c r="BK181" s="40"/>
      <c r="BL181" s="40"/>
    </row>
    <row r="182" spans="1:64" ht="15" customHeight="1">
      <c r="A182" s="9" t="s">
        <v>566</v>
      </c>
      <c r="B182" s="33" t="s">
        <v>56</v>
      </c>
      <c r="C182" s="61" t="s">
        <v>305</v>
      </c>
      <c r="D182" s="61"/>
      <c r="E182" s="61"/>
      <c r="F182" s="61"/>
      <c r="G182" s="33" t="s">
        <v>154</v>
      </c>
      <c r="H182" s="40">
        <v>0</v>
      </c>
      <c r="I182" s="40">
        <v>0</v>
      </c>
      <c r="J182" s="40">
        <f t="shared" si="90"/>
        <v>0</v>
      </c>
      <c r="K182" s="40">
        <f t="shared" si="91"/>
        <v>0</v>
      </c>
      <c r="L182" s="40">
        <f t="shared" si="92"/>
        <v>0</v>
      </c>
      <c r="M182" s="19" t="s">
        <v>473</v>
      </c>
      <c r="Z182" s="40">
        <f t="shared" si="93"/>
        <v>0</v>
      </c>
      <c r="AB182" s="40">
        <f t="shared" si="94"/>
        <v>0</v>
      </c>
      <c r="AC182" s="40">
        <f t="shared" si="95"/>
        <v>0</v>
      </c>
      <c r="AD182" s="40">
        <f t="shared" si="96"/>
        <v>0</v>
      </c>
      <c r="AE182" s="40">
        <f t="shared" si="97"/>
        <v>0</v>
      </c>
      <c r="AF182" s="40">
        <f t="shared" si="98"/>
        <v>0</v>
      </c>
      <c r="AG182" s="40">
        <f t="shared" si="99"/>
        <v>0</v>
      </c>
      <c r="AH182" s="40">
        <f t="shared" si="100"/>
        <v>0</v>
      </c>
      <c r="AI182" s="31" t="s">
        <v>391</v>
      </c>
      <c r="AJ182" s="40">
        <f t="shared" si="101"/>
        <v>0</v>
      </c>
      <c r="AK182" s="40">
        <f t="shared" si="102"/>
        <v>0</v>
      </c>
      <c r="AL182" s="40">
        <f t="shared" si="103"/>
        <v>0</v>
      </c>
      <c r="AN182" s="40">
        <v>21</v>
      </c>
      <c r="AO182" s="40">
        <f t="shared" si="112"/>
        <v>0</v>
      </c>
      <c r="AP182" s="40">
        <f t="shared" si="113"/>
        <v>0</v>
      </c>
      <c r="AQ182" s="38" t="s">
        <v>385</v>
      </c>
      <c r="AV182" s="40">
        <f t="shared" si="104"/>
        <v>0</v>
      </c>
      <c r="AW182" s="40">
        <f t="shared" si="105"/>
        <v>0</v>
      </c>
      <c r="AX182" s="40">
        <f t="shared" si="106"/>
        <v>0</v>
      </c>
      <c r="AY182" s="38" t="s">
        <v>574</v>
      </c>
      <c r="AZ182" s="38" t="s">
        <v>208</v>
      </c>
      <c r="BA182" s="31" t="s">
        <v>427</v>
      </c>
      <c r="BC182" s="40">
        <f t="shared" si="107"/>
        <v>0</v>
      </c>
      <c r="BD182" s="40">
        <f t="shared" si="108"/>
        <v>0</v>
      </c>
      <c r="BE182" s="40">
        <v>0</v>
      </c>
      <c r="BF182" s="40">
        <f>182</f>
        <v>182</v>
      </c>
      <c r="BH182" s="40">
        <f t="shared" si="109"/>
        <v>0</v>
      </c>
      <c r="BI182" s="40">
        <f t="shared" si="110"/>
        <v>0</v>
      </c>
      <c r="BJ182" s="40">
        <f t="shared" si="111"/>
        <v>0</v>
      </c>
      <c r="BK182" s="40"/>
      <c r="BL182" s="40"/>
    </row>
    <row r="183" spans="1:64" ht="15" customHeight="1">
      <c r="A183" s="9" t="s">
        <v>532</v>
      </c>
      <c r="B183" s="33" t="s">
        <v>374</v>
      </c>
      <c r="C183" s="61" t="s">
        <v>180</v>
      </c>
      <c r="D183" s="61"/>
      <c r="E183" s="61"/>
      <c r="F183" s="61"/>
      <c r="G183" s="33" t="s">
        <v>154</v>
      </c>
      <c r="H183" s="40">
        <v>6</v>
      </c>
      <c r="I183" s="40">
        <v>0</v>
      </c>
      <c r="J183" s="40">
        <f t="shared" si="90"/>
        <v>0</v>
      </c>
      <c r="K183" s="40">
        <f t="shared" si="91"/>
        <v>0</v>
      </c>
      <c r="L183" s="40">
        <f t="shared" si="92"/>
        <v>0</v>
      </c>
      <c r="M183" s="19" t="s">
        <v>473</v>
      </c>
      <c r="Z183" s="40">
        <f t="shared" si="93"/>
        <v>0</v>
      </c>
      <c r="AB183" s="40">
        <f t="shared" si="94"/>
        <v>0</v>
      </c>
      <c r="AC183" s="40">
        <f t="shared" si="95"/>
        <v>0</v>
      </c>
      <c r="AD183" s="40">
        <f t="shared" si="96"/>
        <v>0</v>
      </c>
      <c r="AE183" s="40">
        <f t="shared" si="97"/>
        <v>0</v>
      </c>
      <c r="AF183" s="40">
        <f t="shared" si="98"/>
        <v>0</v>
      </c>
      <c r="AG183" s="40">
        <f t="shared" si="99"/>
        <v>0</v>
      </c>
      <c r="AH183" s="40">
        <f t="shared" si="100"/>
        <v>0</v>
      </c>
      <c r="AI183" s="31" t="s">
        <v>391</v>
      </c>
      <c r="AJ183" s="40">
        <f t="shared" si="101"/>
        <v>0</v>
      </c>
      <c r="AK183" s="40">
        <f t="shared" si="102"/>
        <v>0</v>
      </c>
      <c r="AL183" s="40">
        <f t="shared" si="103"/>
        <v>0</v>
      </c>
      <c r="AN183" s="40">
        <v>21</v>
      </c>
      <c r="AO183" s="40">
        <f>I183*0.427234042553191</f>
        <v>0</v>
      </c>
      <c r="AP183" s="40">
        <f>I183*(1-0.427234042553191)</f>
        <v>0</v>
      </c>
      <c r="AQ183" s="38" t="s">
        <v>385</v>
      </c>
      <c r="AV183" s="40">
        <f t="shared" si="104"/>
        <v>0</v>
      </c>
      <c r="AW183" s="40">
        <f t="shared" si="105"/>
        <v>0</v>
      </c>
      <c r="AX183" s="40">
        <f t="shared" si="106"/>
        <v>0</v>
      </c>
      <c r="AY183" s="38" t="s">
        <v>574</v>
      </c>
      <c r="AZ183" s="38" t="s">
        <v>208</v>
      </c>
      <c r="BA183" s="31" t="s">
        <v>427</v>
      </c>
      <c r="BC183" s="40">
        <f t="shared" si="107"/>
        <v>0</v>
      </c>
      <c r="BD183" s="40">
        <f t="shared" si="108"/>
        <v>0</v>
      </c>
      <c r="BE183" s="40">
        <v>0</v>
      </c>
      <c r="BF183" s="40">
        <f>183</f>
        <v>183</v>
      </c>
      <c r="BH183" s="40">
        <f t="shared" si="109"/>
        <v>0</v>
      </c>
      <c r="BI183" s="40">
        <f t="shared" si="110"/>
        <v>0</v>
      </c>
      <c r="BJ183" s="40">
        <f t="shared" si="111"/>
        <v>0</v>
      </c>
      <c r="BK183" s="40"/>
      <c r="BL183" s="40"/>
    </row>
    <row r="184" spans="1:64" ht="15" customHeight="1">
      <c r="A184" s="9" t="s">
        <v>294</v>
      </c>
      <c r="B184" s="33" t="s">
        <v>531</v>
      </c>
      <c r="C184" s="61" t="s">
        <v>195</v>
      </c>
      <c r="D184" s="61"/>
      <c r="E184" s="61"/>
      <c r="F184" s="61"/>
      <c r="G184" s="33" t="s">
        <v>154</v>
      </c>
      <c r="H184" s="40">
        <v>8</v>
      </c>
      <c r="I184" s="40">
        <v>0</v>
      </c>
      <c r="J184" s="40">
        <f t="shared" si="90"/>
        <v>0</v>
      </c>
      <c r="K184" s="40">
        <f t="shared" si="91"/>
        <v>0</v>
      </c>
      <c r="L184" s="40">
        <f t="shared" si="92"/>
        <v>0</v>
      </c>
      <c r="M184" s="19" t="s">
        <v>473</v>
      </c>
      <c r="Z184" s="40">
        <f t="shared" si="93"/>
        <v>0</v>
      </c>
      <c r="AB184" s="40">
        <f t="shared" si="94"/>
        <v>0</v>
      </c>
      <c r="AC184" s="40">
        <f t="shared" si="95"/>
        <v>0</v>
      </c>
      <c r="AD184" s="40">
        <f t="shared" si="96"/>
        <v>0</v>
      </c>
      <c r="AE184" s="40">
        <f t="shared" si="97"/>
        <v>0</v>
      </c>
      <c r="AF184" s="40">
        <f t="shared" si="98"/>
        <v>0</v>
      </c>
      <c r="AG184" s="40">
        <f t="shared" si="99"/>
        <v>0</v>
      </c>
      <c r="AH184" s="40">
        <f t="shared" si="100"/>
        <v>0</v>
      </c>
      <c r="AI184" s="31" t="s">
        <v>391</v>
      </c>
      <c r="AJ184" s="40">
        <f t="shared" si="101"/>
        <v>0</v>
      </c>
      <c r="AK184" s="40">
        <f t="shared" si="102"/>
        <v>0</v>
      </c>
      <c r="AL184" s="40">
        <f t="shared" si="103"/>
        <v>0</v>
      </c>
      <c r="AN184" s="40">
        <v>21</v>
      </c>
      <c r="AO184" s="40">
        <f>I184*0.485601965601966</f>
        <v>0</v>
      </c>
      <c r="AP184" s="40">
        <f>I184*(1-0.485601965601966)</f>
        <v>0</v>
      </c>
      <c r="AQ184" s="38" t="s">
        <v>385</v>
      </c>
      <c r="AV184" s="40">
        <f t="shared" si="104"/>
        <v>0</v>
      </c>
      <c r="AW184" s="40">
        <f t="shared" si="105"/>
        <v>0</v>
      </c>
      <c r="AX184" s="40">
        <f t="shared" si="106"/>
        <v>0</v>
      </c>
      <c r="AY184" s="38" t="s">
        <v>574</v>
      </c>
      <c r="AZ184" s="38" t="s">
        <v>208</v>
      </c>
      <c r="BA184" s="31" t="s">
        <v>427</v>
      </c>
      <c r="BC184" s="40">
        <f t="shared" si="107"/>
        <v>0</v>
      </c>
      <c r="BD184" s="40">
        <f t="shared" si="108"/>
        <v>0</v>
      </c>
      <c r="BE184" s="40">
        <v>0</v>
      </c>
      <c r="BF184" s="40">
        <f>184</f>
        <v>184</v>
      </c>
      <c r="BH184" s="40">
        <f t="shared" si="109"/>
        <v>0</v>
      </c>
      <c r="BI184" s="40">
        <f t="shared" si="110"/>
        <v>0</v>
      </c>
      <c r="BJ184" s="40">
        <f t="shared" si="111"/>
        <v>0</v>
      </c>
      <c r="BK184" s="40"/>
      <c r="BL184" s="40"/>
    </row>
    <row r="185" spans="1:64" ht="15" customHeight="1">
      <c r="A185" s="9" t="s">
        <v>266</v>
      </c>
      <c r="B185" s="33" t="s">
        <v>483</v>
      </c>
      <c r="C185" s="61" t="s">
        <v>593</v>
      </c>
      <c r="D185" s="61"/>
      <c r="E185" s="61"/>
      <c r="F185" s="61"/>
      <c r="G185" s="33" t="s">
        <v>154</v>
      </c>
      <c r="H185" s="40">
        <v>2</v>
      </c>
      <c r="I185" s="40">
        <v>0</v>
      </c>
      <c r="J185" s="40">
        <f t="shared" si="90"/>
        <v>0</v>
      </c>
      <c r="K185" s="40">
        <f t="shared" si="91"/>
        <v>0</v>
      </c>
      <c r="L185" s="40">
        <f t="shared" si="92"/>
        <v>0</v>
      </c>
      <c r="M185" s="19" t="s">
        <v>473</v>
      </c>
      <c r="Z185" s="40">
        <f t="shared" si="93"/>
        <v>0</v>
      </c>
      <c r="AB185" s="40">
        <f t="shared" si="94"/>
        <v>0</v>
      </c>
      <c r="AC185" s="40">
        <f t="shared" si="95"/>
        <v>0</v>
      </c>
      <c r="AD185" s="40">
        <f t="shared" si="96"/>
        <v>0</v>
      </c>
      <c r="AE185" s="40">
        <f t="shared" si="97"/>
        <v>0</v>
      </c>
      <c r="AF185" s="40">
        <f t="shared" si="98"/>
        <v>0</v>
      </c>
      <c r="AG185" s="40">
        <f t="shared" si="99"/>
        <v>0</v>
      </c>
      <c r="AH185" s="40">
        <f t="shared" si="100"/>
        <v>0</v>
      </c>
      <c r="AI185" s="31" t="s">
        <v>391</v>
      </c>
      <c r="AJ185" s="40">
        <f t="shared" si="101"/>
        <v>0</v>
      </c>
      <c r="AK185" s="40">
        <f t="shared" si="102"/>
        <v>0</v>
      </c>
      <c r="AL185" s="40">
        <f t="shared" si="103"/>
        <v>0</v>
      </c>
      <c r="AN185" s="40">
        <v>21</v>
      </c>
      <c r="AO185" s="40">
        <f>I185*0</f>
        <v>0</v>
      </c>
      <c r="AP185" s="40">
        <f>I185*(1-0)</f>
        <v>0</v>
      </c>
      <c r="AQ185" s="38" t="s">
        <v>385</v>
      </c>
      <c r="AV185" s="40">
        <f t="shared" si="104"/>
        <v>0</v>
      </c>
      <c r="AW185" s="40">
        <f t="shared" si="105"/>
        <v>0</v>
      </c>
      <c r="AX185" s="40">
        <f t="shared" si="106"/>
        <v>0</v>
      </c>
      <c r="AY185" s="38" t="s">
        <v>574</v>
      </c>
      <c r="AZ185" s="38" t="s">
        <v>208</v>
      </c>
      <c r="BA185" s="31" t="s">
        <v>427</v>
      </c>
      <c r="BC185" s="40">
        <f t="shared" si="107"/>
        <v>0</v>
      </c>
      <c r="BD185" s="40">
        <f t="shared" si="108"/>
        <v>0</v>
      </c>
      <c r="BE185" s="40">
        <v>0</v>
      </c>
      <c r="BF185" s="40">
        <f>185</f>
        <v>185</v>
      </c>
      <c r="BH185" s="40">
        <f t="shared" si="109"/>
        <v>0</v>
      </c>
      <c r="BI185" s="40">
        <f t="shared" si="110"/>
        <v>0</v>
      </c>
      <c r="BJ185" s="40">
        <f t="shared" si="111"/>
        <v>0</v>
      </c>
      <c r="BK185" s="40"/>
      <c r="BL185" s="40"/>
    </row>
    <row r="186" spans="1:64" ht="15" customHeight="1">
      <c r="A186" s="9" t="s">
        <v>239</v>
      </c>
      <c r="B186" s="33" t="s">
        <v>276</v>
      </c>
      <c r="C186" s="61" t="s">
        <v>319</v>
      </c>
      <c r="D186" s="61"/>
      <c r="E186" s="61"/>
      <c r="F186" s="61"/>
      <c r="G186" s="33" t="s">
        <v>154</v>
      </c>
      <c r="H186" s="40">
        <v>4</v>
      </c>
      <c r="I186" s="40">
        <v>0</v>
      </c>
      <c r="J186" s="40">
        <f t="shared" si="90"/>
        <v>0</v>
      </c>
      <c r="K186" s="40">
        <f t="shared" si="91"/>
        <v>0</v>
      </c>
      <c r="L186" s="40">
        <f t="shared" si="92"/>
        <v>0</v>
      </c>
      <c r="M186" s="19" t="s">
        <v>473</v>
      </c>
      <c r="Z186" s="40">
        <f t="shared" si="93"/>
        <v>0</v>
      </c>
      <c r="AB186" s="40">
        <f t="shared" si="94"/>
        <v>0</v>
      </c>
      <c r="AC186" s="40">
        <f t="shared" si="95"/>
        <v>0</v>
      </c>
      <c r="AD186" s="40">
        <f t="shared" si="96"/>
        <v>0</v>
      </c>
      <c r="AE186" s="40">
        <f t="shared" si="97"/>
        <v>0</v>
      </c>
      <c r="AF186" s="40">
        <f t="shared" si="98"/>
        <v>0</v>
      </c>
      <c r="AG186" s="40">
        <f t="shared" si="99"/>
        <v>0</v>
      </c>
      <c r="AH186" s="40">
        <f t="shared" si="100"/>
        <v>0</v>
      </c>
      <c r="AI186" s="31" t="s">
        <v>391</v>
      </c>
      <c r="AJ186" s="40">
        <f t="shared" si="101"/>
        <v>0</v>
      </c>
      <c r="AK186" s="40">
        <f t="shared" si="102"/>
        <v>0</v>
      </c>
      <c r="AL186" s="40">
        <f t="shared" si="103"/>
        <v>0</v>
      </c>
      <c r="AN186" s="40">
        <v>21</v>
      </c>
      <c r="AO186" s="40">
        <f>I186*0</f>
        <v>0</v>
      </c>
      <c r="AP186" s="40">
        <f>I186*(1-0)</f>
        <v>0</v>
      </c>
      <c r="AQ186" s="38" t="s">
        <v>385</v>
      </c>
      <c r="AV186" s="40">
        <f t="shared" si="104"/>
        <v>0</v>
      </c>
      <c r="AW186" s="40">
        <f t="shared" si="105"/>
        <v>0</v>
      </c>
      <c r="AX186" s="40">
        <f t="shared" si="106"/>
        <v>0</v>
      </c>
      <c r="AY186" s="38" t="s">
        <v>574</v>
      </c>
      <c r="AZ186" s="38" t="s">
        <v>208</v>
      </c>
      <c r="BA186" s="31" t="s">
        <v>427</v>
      </c>
      <c r="BC186" s="40">
        <f t="shared" si="107"/>
        <v>0</v>
      </c>
      <c r="BD186" s="40">
        <f t="shared" si="108"/>
        <v>0</v>
      </c>
      <c r="BE186" s="40">
        <v>0</v>
      </c>
      <c r="BF186" s="40">
        <f>186</f>
        <v>186</v>
      </c>
      <c r="BH186" s="40">
        <f t="shared" si="109"/>
        <v>0</v>
      </c>
      <c r="BI186" s="40">
        <f t="shared" si="110"/>
        <v>0</v>
      </c>
      <c r="BJ186" s="40">
        <f t="shared" si="111"/>
        <v>0</v>
      </c>
      <c r="BK186" s="40"/>
      <c r="BL186" s="40"/>
    </row>
    <row r="187" spans="1:64" ht="15" customHeight="1">
      <c r="A187" s="9" t="s">
        <v>114</v>
      </c>
      <c r="B187" s="33" t="s">
        <v>50</v>
      </c>
      <c r="C187" s="61" t="s">
        <v>420</v>
      </c>
      <c r="D187" s="61"/>
      <c r="E187" s="61"/>
      <c r="F187" s="61"/>
      <c r="G187" s="33" t="s">
        <v>154</v>
      </c>
      <c r="H187" s="40">
        <v>4</v>
      </c>
      <c r="I187" s="40">
        <v>0</v>
      </c>
      <c r="J187" s="40">
        <f t="shared" si="90"/>
        <v>0</v>
      </c>
      <c r="K187" s="40">
        <f t="shared" si="91"/>
        <v>0</v>
      </c>
      <c r="L187" s="40">
        <f t="shared" si="92"/>
        <v>0</v>
      </c>
      <c r="M187" s="19" t="s">
        <v>473</v>
      </c>
      <c r="Z187" s="40">
        <f t="shared" si="93"/>
        <v>0</v>
      </c>
      <c r="AB187" s="40">
        <f t="shared" si="94"/>
        <v>0</v>
      </c>
      <c r="AC187" s="40">
        <f t="shared" si="95"/>
        <v>0</v>
      </c>
      <c r="AD187" s="40">
        <f t="shared" si="96"/>
        <v>0</v>
      </c>
      <c r="AE187" s="40">
        <f t="shared" si="97"/>
        <v>0</v>
      </c>
      <c r="AF187" s="40">
        <f t="shared" si="98"/>
        <v>0</v>
      </c>
      <c r="AG187" s="40">
        <f t="shared" si="99"/>
        <v>0</v>
      </c>
      <c r="AH187" s="40">
        <f t="shared" si="100"/>
        <v>0</v>
      </c>
      <c r="AI187" s="31" t="s">
        <v>391</v>
      </c>
      <c r="AJ187" s="40">
        <f t="shared" si="101"/>
        <v>0</v>
      </c>
      <c r="AK187" s="40">
        <f t="shared" si="102"/>
        <v>0</v>
      </c>
      <c r="AL187" s="40">
        <f t="shared" si="103"/>
        <v>0</v>
      </c>
      <c r="AN187" s="40">
        <v>21</v>
      </c>
      <c r="AO187" s="40">
        <f>I187*0</f>
        <v>0</v>
      </c>
      <c r="AP187" s="40">
        <f>I187*(1-0)</f>
        <v>0</v>
      </c>
      <c r="AQ187" s="38" t="s">
        <v>385</v>
      </c>
      <c r="AV187" s="40">
        <f t="shared" si="104"/>
        <v>0</v>
      </c>
      <c r="AW187" s="40">
        <f t="shared" si="105"/>
        <v>0</v>
      </c>
      <c r="AX187" s="40">
        <f t="shared" si="106"/>
        <v>0</v>
      </c>
      <c r="AY187" s="38" t="s">
        <v>574</v>
      </c>
      <c r="AZ187" s="38" t="s">
        <v>208</v>
      </c>
      <c r="BA187" s="31" t="s">
        <v>427</v>
      </c>
      <c r="BC187" s="40">
        <f t="shared" si="107"/>
        <v>0</v>
      </c>
      <c r="BD187" s="40">
        <f t="shared" si="108"/>
        <v>0</v>
      </c>
      <c r="BE187" s="40">
        <v>0</v>
      </c>
      <c r="BF187" s="40">
        <f>187</f>
        <v>187</v>
      </c>
      <c r="BH187" s="40">
        <f t="shared" si="109"/>
        <v>0</v>
      </c>
      <c r="BI187" s="40">
        <f t="shared" si="110"/>
        <v>0</v>
      </c>
      <c r="BJ187" s="40">
        <f t="shared" si="111"/>
        <v>0</v>
      </c>
      <c r="BK187" s="40"/>
      <c r="BL187" s="40"/>
    </row>
    <row r="188" spans="1:64" ht="15" customHeight="1">
      <c r="A188" s="9" t="s">
        <v>142</v>
      </c>
      <c r="B188" s="33" t="s">
        <v>515</v>
      </c>
      <c r="C188" s="61" t="s">
        <v>304</v>
      </c>
      <c r="D188" s="61"/>
      <c r="E188" s="61"/>
      <c r="F188" s="61"/>
      <c r="G188" s="33" t="s">
        <v>154</v>
      </c>
      <c r="H188" s="40">
        <v>2</v>
      </c>
      <c r="I188" s="40">
        <v>0</v>
      </c>
      <c r="J188" s="40">
        <f t="shared" si="90"/>
        <v>0</v>
      </c>
      <c r="K188" s="40">
        <f t="shared" si="91"/>
        <v>0</v>
      </c>
      <c r="L188" s="40">
        <f t="shared" si="92"/>
        <v>0</v>
      </c>
      <c r="M188" s="19" t="s">
        <v>473</v>
      </c>
      <c r="Z188" s="40">
        <f t="shared" si="93"/>
        <v>0</v>
      </c>
      <c r="AB188" s="40">
        <f t="shared" si="94"/>
        <v>0</v>
      </c>
      <c r="AC188" s="40">
        <f t="shared" si="95"/>
        <v>0</v>
      </c>
      <c r="AD188" s="40">
        <f t="shared" si="96"/>
        <v>0</v>
      </c>
      <c r="AE188" s="40">
        <f t="shared" si="97"/>
        <v>0</v>
      </c>
      <c r="AF188" s="40">
        <f t="shared" si="98"/>
        <v>0</v>
      </c>
      <c r="AG188" s="40">
        <f t="shared" si="99"/>
        <v>0</v>
      </c>
      <c r="AH188" s="40">
        <f t="shared" si="100"/>
        <v>0</v>
      </c>
      <c r="AI188" s="31" t="s">
        <v>391</v>
      </c>
      <c r="AJ188" s="40">
        <f t="shared" si="101"/>
        <v>0</v>
      </c>
      <c r="AK188" s="40">
        <f t="shared" si="102"/>
        <v>0</v>
      </c>
      <c r="AL188" s="40">
        <f t="shared" si="103"/>
        <v>0</v>
      </c>
      <c r="AN188" s="40">
        <v>21</v>
      </c>
      <c r="AO188" s="40">
        <f>I188*0</f>
        <v>0</v>
      </c>
      <c r="AP188" s="40">
        <f>I188*(1-0)</f>
        <v>0</v>
      </c>
      <c r="AQ188" s="38" t="s">
        <v>385</v>
      </c>
      <c r="AV188" s="40">
        <f t="shared" si="104"/>
        <v>0</v>
      </c>
      <c r="AW188" s="40">
        <f t="shared" si="105"/>
        <v>0</v>
      </c>
      <c r="AX188" s="40">
        <f t="shared" si="106"/>
        <v>0</v>
      </c>
      <c r="AY188" s="38" t="s">
        <v>574</v>
      </c>
      <c r="AZ188" s="38" t="s">
        <v>208</v>
      </c>
      <c r="BA188" s="31" t="s">
        <v>427</v>
      </c>
      <c r="BC188" s="40">
        <f t="shared" si="107"/>
        <v>0</v>
      </c>
      <c r="BD188" s="40">
        <f t="shared" si="108"/>
        <v>0</v>
      </c>
      <c r="BE188" s="40">
        <v>0</v>
      </c>
      <c r="BF188" s="40">
        <f>188</f>
        <v>188</v>
      </c>
      <c r="BH188" s="40">
        <f t="shared" si="109"/>
        <v>0</v>
      </c>
      <c r="BI188" s="40">
        <f t="shared" si="110"/>
        <v>0</v>
      </c>
      <c r="BJ188" s="40">
        <f t="shared" si="111"/>
        <v>0</v>
      </c>
      <c r="BK188" s="40"/>
      <c r="BL188" s="40"/>
    </row>
    <row r="189" spans="1:64" ht="15" customHeight="1">
      <c r="A189" s="9" t="s">
        <v>74</v>
      </c>
      <c r="B189" s="33" t="s">
        <v>118</v>
      </c>
      <c r="C189" s="61" t="s">
        <v>78</v>
      </c>
      <c r="D189" s="61"/>
      <c r="E189" s="61"/>
      <c r="F189" s="61"/>
      <c r="G189" s="33" t="s">
        <v>154</v>
      </c>
      <c r="H189" s="40">
        <v>10</v>
      </c>
      <c r="I189" s="40">
        <v>0</v>
      </c>
      <c r="J189" s="40">
        <f t="shared" si="90"/>
        <v>0</v>
      </c>
      <c r="K189" s="40">
        <f t="shared" si="91"/>
        <v>0</v>
      </c>
      <c r="L189" s="40">
        <f t="shared" si="92"/>
        <v>0</v>
      </c>
      <c r="M189" s="19" t="s">
        <v>473</v>
      </c>
      <c r="Z189" s="40">
        <f t="shared" si="93"/>
        <v>0</v>
      </c>
      <c r="AB189" s="40">
        <f t="shared" si="94"/>
        <v>0</v>
      </c>
      <c r="AC189" s="40">
        <f t="shared" si="95"/>
        <v>0</v>
      </c>
      <c r="AD189" s="40">
        <f t="shared" si="96"/>
        <v>0</v>
      </c>
      <c r="AE189" s="40">
        <f t="shared" si="97"/>
        <v>0</v>
      </c>
      <c r="AF189" s="40">
        <f t="shared" si="98"/>
        <v>0</v>
      </c>
      <c r="AG189" s="40">
        <f t="shared" si="99"/>
        <v>0</v>
      </c>
      <c r="AH189" s="40">
        <f t="shared" si="100"/>
        <v>0</v>
      </c>
      <c r="AI189" s="31" t="s">
        <v>391</v>
      </c>
      <c r="AJ189" s="40">
        <f t="shared" si="101"/>
        <v>0</v>
      </c>
      <c r="AK189" s="40">
        <f t="shared" si="102"/>
        <v>0</v>
      </c>
      <c r="AL189" s="40">
        <f t="shared" si="103"/>
        <v>0</v>
      </c>
      <c r="AN189" s="40">
        <v>21</v>
      </c>
      <c r="AO189" s="40">
        <f>I189*0</f>
        <v>0</v>
      </c>
      <c r="AP189" s="40">
        <f>I189*(1-0)</f>
        <v>0</v>
      </c>
      <c r="AQ189" s="38" t="s">
        <v>385</v>
      </c>
      <c r="AV189" s="40">
        <f t="shared" si="104"/>
        <v>0</v>
      </c>
      <c r="AW189" s="40">
        <f t="shared" si="105"/>
        <v>0</v>
      </c>
      <c r="AX189" s="40">
        <f t="shared" si="106"/>
        <v>0</v>
      </c>
      <c r="AY189" s="38" t="s">
        <v>574</v>
      </c>
      <c r="AZ189" s="38" t="s">
        <v>208</v>
      </c>
      <c r="BA189" s="31" t="s">
        <v>427</v>
      </c>
      <c r="BC189" s="40">
        <f t="shared" si="107"/>
        <v>0</v>
      </c>
      <c r="BD189" s="40">
        <f t="shared" si="108"/>
        <v>0</v>
      </c>
      <c r="BE189" s="40">
        <v>0</v>
      </c>
      <c r="BF189" s="40">
        <f>189</f>
        <v>189</v>
      </c>
      <c r="BH189" s="40">
        <f t="shared" si="109"/>
        <v>0</v>
      </c>
      <c r="BI189" s="40">
        <f t="shared" si="110"/>
        <v>0</v>
      </c>
      <c r="BJ189" s="40">
        <f t="shared" si="111"/>
        <v>0</v>
      </c>
      <c r="BK189" s="40"/>
      <c r="BL189" s="40"/>
    </row>
    <row r="190" spans="1:64" ht="15" customHeight="1">
      <c r="A190" s="9" t="s">
        <v>89</v>
      </c>
      <c r="B190" s="33" t="s">
        <v>167</v>
      </c>
      <c r="C190" s="61" t="s">
        <v>388</v>
      </c>
      <c r="D190" s="61"/>
      <c r="E190" s="61"/>
      <c r="F190" s="61"/>
      <c r="G190" s="33" t="s">
        <v>154</v>
      </c>
      <c r="H190" s="40">
        <v>49</v>
      </c>
      <c r="I190" s="40">
        <v>0</v>
      </c>
      <c r="J190" s="40">
        <f t="shared" si="90"/>
        <v>0</v>
      </c>
      <c r="K190" s="40">
        <f t="shared" si="91"/>
        <v>0</v>
      </c>
      <c r="L190" s="40">
        <f t="shared" si="92"/>
        <v>0</v>
      </c>
      <c r="M190" s="19" t="s">
        <v>473</v>
      </c>
      <c r="Z190" s="40">
        <f t="shared" si="93"/>
        <v>0</v>
      </c>
      <c r="AB190" s="40">
        <f t="shared" si="94"/>
        <v>0</v>
      </c>
      <c r="AC190" s="40">
        <f t="shared" si="95"/>
        <v>0</v>
      </c>
      <c r="AD190" s="40">
        <f t="shared" si="96"/>
        <v>0</v>
      </c>
      <c r="AE190" s="40">
        <f t="shared" si="97"/>
        <v>0</v>
      </c>
      <c r="AF190" s="40">
        <f t="shared" si="98"/>
        <v>0</v>
      </c>
      <c r="AG190" s="40">
        <f t="shared" si="99"/>
        <v>0</v>
      </c>
      <c r="AH190" s="40">
        <f t="shared" si="100"/>
        <v>0</v>
      </c>
      <c r="AI190" s="31" t="s">
        <v>391</v>
      </c>
      <c r="AJ190" s="40">
        <f t="shared" si="101"/>
        <v>0</v>
      </c>
      <c r="AK190" s="40">
        <f t="shared" si="102"/>
        <v>0</v>
      </c>
      <c r="AL190" s="40">
        <f t="shared" si="103"/>
        <v>0</v>
      </c>
      <c r="AN190" s="40">
        <v>21</v>
      </c>
      <c r="AO190" s="40">
        <f>I190*0.6375</f>
        <v>0</v>
      </c>
      <c r="AP190" s="40">
        <f>I190*(1-0.6375)</f>
        <v>0</v>
      </c>
      <c r="AQ190" s="38" t="s">
        <v>385</v>
      </c>
      <c r="AV190" s="40">
        <f t="shared" si="104"/>
        <v>0</v>
      </c>
      <c r="AW190" s="40">
        <f t="shared" si="105"/>
        <v>0</v>
      </c>
      <c r="AX190" s="40">
        <f t="shared" si="106"/>
        <v>0</v>
      </c>
      <c r="AY190" s="38" t="s">
        <v>574</v>
      </c>
      <c r="AZ190" s="38" t="s">
        <v>208</v>
      </c>
      <c r="BA190" s="31" t="s">
        <v>427</v>
      </c>
      <c r="BC190" s="40">
        <f t="shared" si="107"/>
        <v>0</v>
      </c>
      <c r="BD190" s="40">
        <f t="shared" si="108"/>
        <v>0</v>
      </c>
      <c r="BE190" s="40">
        <v>0</v>
      </c>
      <c r="BF190" s="40">
        <f>190</f>
        <v>190</v>
      </c>
      <c r="BH190" s="40">
        <f t="shared" si="109"/>
        <v>0</v>
      </c>
      <c r="BI190" s="40">
        <f t="shared" si="110"/>
        <v>0</v>
      </c>
      <c r="BJ190" s="40">
        <f t="shared" si="111"/>
        <v>0</v>
      </c>
      <c r="BK190" s="40"/>
      <c r="BL190" s="40"/>
    </row>
    <row r="191" spans="1:64" ht="15" customHeight="1">
      <c r="A191" s="9" t="s">
        <v>520</v>
      </c>
      <c r="B191" s="33" t="s">
        <v>598</v>
      </c>
      <c r="C191" s="61" t="s">
        <v>170</v>
      </c>
      <c r="D191" s="61"/>
      <c r="E191" s="61"/>
      <c r="F191" s="61"/>
      <c r="G191" s="33" t="s">
        <v>253</v>
      </c>
      <c r="H191" s="40">
        <v>10</v>
      </c>
      <c r="I191" s="40">
        <v>0</v>
      </c>
      <c r="J191" s="40">
        <f t="shared" si="90"/>
        <v>0</v>
      </c>
      <c r="K191" s="40">
        <f t="shared" si="91"/>
        <v>0</v>
      </c>
      <c r="L191" s="40">
        <f t="shared" si="92"/>
        <v>0</v>
      </c>
      <c r="M191" s="19" t="s">
        <v>473</v>
      </c>
      <c r="Z191" s="40">
        <f t="shared" si="93"/>
        <v>0</v>
      </c>
      <c r="AB191" s="40">
        <f t="shared" si="94"/>
        <v>0</v>
      </c>
      <c r="AC191" s="40">
        <f t="shared" si="95"/>
        <v>0</v>
      </c>
      <c r="AD191" s="40">
        <f t="shared" si="96"/>
        <v>0</v>
      </c>
      <c r="AE191" s="40">
        <f t="shared" si="97"/>
        <v>0</v>
      </c>
      <c r="AF191" s="40">
        <f t="shared" si="98"/>
        <v>0</v>
      </c>
      <c r="AG191" s="40">
        <f t="shared" si="99"/>
        <v>0</v>
      </c>
      <c r="AH191" s="40">
        <f t="shared" si="100"/>
        <v>0</v>
      </c>
      <c r="AI191" s="31" t="s">
        <v>391</v>
      </c>
      <c r="AJ191" s="40">
        <f t="shared" si="101"/>
        <v>0</v>
      </c>
      <c r="AK191" s="40">
        <f t="shared" si="102"/>
        <v>0</v>
      </c>
      <c r="AL191" s="40">
        <f t="shared" si="103"/>
        <v>0</v>
      </c>
      <c r="AN191" s="40">
        <v>21</v>
      </c>
      <c r="AO191" s="40">
        <f>I191*0</f>
        <v>0</v>
      </c>
      <c r="AP191" s="40">
        <f>I191*(1-0)</f>
        <v>0</v>
      </c>
      <c r="AQ191" s="38" t="s">
        <v>385</v>
      </c>
      <c r="AV191" s="40">
        <f t="shared" si="104"/>
        <v>0</v>
      </c>
      <c r="AW191" s="40">
        <f t="shared" si="105"/>
        <v>0</v>
      </c>
      <c r="AX191" s="40">
        <f t="shared" si="106"/>
        <v>0</v>
      </c>
      <c r="AY191" s="38" t="s">
        <v>574</v>
      </c>
      <c r="AZ191" s="38" t="s">
        <v>208</v>
      </c>
      <c r="BA191" s="31" t="s">
        <v>427</v>
      </c>
      <c r="BC191" s="40">
        <f t="shared" si="107"/>
        <v>0</v>
      </c>
      <c r="BD191" s="40">
        <f t="shared" si="108"/>
        <v>0</v>
      </c>
      <c r="BE191" s="40">
        <v>0</v>
      </c>
      <c r="BF191" s="40">
        <f>191</f>
        <v>191</v>
      </c>
      <c r="BH191" s="40">
        <f t="shared" si="109"/>
        <v>0</v>
      </c>
      <c r="BI191" s="40">
        <f t="shared" si="110"/>
        <v>0</v>
      </c>
      <c r="BJ191" s="40">
        <f t="shared" si="111"/>
        <v>0</v>
      </c>
      <c r="BK191" s="40"/>
      <c r="BL191" s="40"/>
    </row>
    <row r="192" spans="1:64" ht="15" customHeight="1">
      <c r="A192" s="9" t="s">
        <v>413</v>
      </c>
      <c r="B192" s="33" t="s">
        <v>181</v>
      </c>
      <c r="C192" s="61" t="s">
        <v>410</v>
      </c>
      <c r="D192" s="61"/>
      <c r="E192" s="61"/>
      <c r="F192" s="61"/>
      <c r="G192" s="33" t="s">
        <v>371</v>
      </c>
      <c r="H192" s="40">
        <v>0</v>
      </c>
      <c r="I192" s="40">
        <v>0</v>
      </c>
      <c r="J192" s="40">
        <f t="shared" si="90"/>
        <v>0</v>
      </c>
      <c r="K192" s="40">
        <f t="shared" si="91"/>
        <v>0</v>
      </c>
      <c r="L192" s="40">
        <f t="shared" si="92"/>
        <v>0</v>
      </c>
      <c r="M192" s="19" t="s">
        <v>391</v>
      </c>
      <c r="Z192" s="40">
        <f t="shared" si="93"/>
        <v>0</v>
      </c>
      <c r="AB192" s="40">
        <f t="shared" si="94"/>
        <v>0</v>
      </c>
      <c r="AC192" s="40">
        <f t="shared" si="95"/>
        <v>0</v>
      </c>
      <c r="AD192" s="40">
        <f t="shared" si="96"/>
        <v>0</v>
      </c>
      <c r="AE192" s="40">
        <f t="shared" si="97"/>
        <v>0</v>
      </c>
      <c r="AF192" s="40">
        <f t="shared" si="98"/>
        <v>0</v>
      </c>
      <c r="AG192" s="40">
        <f t="shared" si="99"/>
        <v>0</v>
      </c>
      <c r="AH192" s="40">
        <f t="shared" si="100"/>
        <v>0</v>
      </c>
      <c r="AI192" s="31" t="s">
        <v>391</v>
      </c>
      <c r="AJ192" s="40">
        <f t="shared" si="101"/>
        <v>0</v>
      </c>
      <c r="AK192" s="40">
        <f t="shared" si="102"/>
        <v>0</v>
      </c>
      <c r="AL192" s="40">
        <f t="shared" si="103"/>
        <v>0</v>
      </c>
      <c r="AN192" s="40">
        <v>21</v>
      </c>
      <c r="AO192" s="40">
        <f>I192*0</f>
        <v>0</v>
      </c>
      <c r="AP192" s="40">
        <f>I192*(1-0)</f>
        <v>0</v>
      </c>
      <c r="AQ192" s="38" t="s">
        <v>385</v>
      </c>
      <c r="AV192" s="40">
        <f t="shared" si="104"/>
        <v>0</v>
      </c>
      <c r="AW192" s="40">
        <f t="shared" si="105"/>
        <v>0</v>
      </c>
      <c r="AX192" s="40">
        <f t="shared" si="106"/>
        <v>0</v>
      </c>
      <c r="AY192" s="38" t="s">
        <v>574</v>
      </c>
      <c r="AZ192" s="38" t="s">
        <v>208</v>
      </c>
      <c r="BA192" s="31" t="s">
        <v>427</v>
      </c>
      <c r="BC192" s="40">
        <f t="shared" si="107"/>
        <v>0</v>
      </c>
      <c r="BD192" s="40">
        <f t="shared" si="108"/>
        <v>0</v>
      </c>
      <c r="BE192" s="40">
        <v>0</v>
      </c>
      <c r="BF192" s="40">
        <f>192</f>
        <v>192</v>
      </c>
      <c r="BH192" s="40">
        <f t="shared" si="109"/>
        <v>0</v>
      </c>
      <c r="BI192" s="40">
        <f t="shared" si="110"/>
        <v>0</v>
      </c>
      <c r="BJ192" s="40">
        <f t="shared" si="111"/>
        <v>0</v>
      </c>
      <c r="BK192" s="40"/>
      <c r="BL192" s="40"/>
    </row>
    <row r="193" spans="1:64" ht="15" customHeight="1">
      <c r="A193" s="9" t="s">
        <v>275</v>
      </c>
      <c r="B193" s="33" t="s">
        <v>572</v>
      </c>
      <c r="C193" s="61" t="s">
        <v>282</v>
      </c>
      <c r="D193" s="61"/>
      <c r="E193" s="61"/>
      <c r="F193" s="61"/>
      <c r="G193" s="33" t="s">
        <v>70</v>
      </c>
      <c r="H193" s="40">
        <v>1</v>
      </c>
      <c r="I193" s="40">
        <v>0</v>
      </c>
      <c r="J193" s="40">
        <f t="shared" si="90"/>
        <v>0</v>
      </c>
      <c r="K193" s="40">
        <f t="shared" si="91"/>
        <v>0</v>
      </c>
      <c r="L193" s="40">
        <f t="shared" si="92"/>
        <v>0</v>
      </c>
      <c r="M193" s="19" t="s">
        <v>391</v>
      </c>
      <c r="Z193" s="40">
        <f t="shared" si="93"/>
        <v>0</v>
      </c>
      <c r="AB193" s="40">
        <f t="shared" si="94"/>
        <v>0</v>
      </c>
      <c r="AC193" s="40">
        <f t="shared" si="95"/>
        <v>0</v>
      </c>
      <c r="AD193" s="40">
        <f t="shared" si="96"/>
        <v>0</v>
      </c>
      <c r="AE193" s="40">
        <f t="shared" si="97"/>
        <v>0</v>
      </c>
      <c r="AF193" s="40">
        <f t="shared" si="98"/>
        <v>0</v>
      </c>
      <c r="AG193" s="40">
        <f t="shared" si="99"/>
        <v>0</v>
      </c>
      <c r="AH193" s="40">
        <f t="shared" si="100"/>
        <v>0</v>
      </c>
      <c r="AI193" s="31" t="s">
        <v>391</v>
      </c>
      <c r="AJ193" s="40">
        <f t="shared" si="101"/>
        <v>0</v>
      </c>
      <c r="AK193" s="40">
        <f t="shared" si="102"/>
        <v>0</v>
      </c>
      <c r="AL193" s="40">
        <f t="shared" si="103"/>
        <v>0</v>
      </c>
      <c r="AN193" s="40">
        <v>21</v>
      </c>
      <c r="AO193" s="40">
        <f>I193*0</f>
        <v>0</v>
      </c>
      <c r="AP193" s="40">
        <f>I193*(1-0)</f>
        <v>0</v>
      </c>
      <c r="AQ193" s="38" t="s">
        <v>385</v>
      </c>
      <c r="AV193" s="40">
        <f t="shared" si="104"/>
        <v>0</v>
      </c>
      <c r="AW193" s="40">
        <f t="shared" si="105"/>
        <v>0</v>
      </c>
      <c r="AX193" s="40">
        <f t="shared" si="106"/>
        <v>0</v>
      </c>
      <c r="AY193" s="38" t="s">
        <v>574</v>
      </c>
      <c r="AZ193" s="38" t="s">
        <v>208</v>
      </c>
      <c r="BA193" s="31" t="s">
        <v>427</v>
      </c>
      <c r="BC193" s="40">
        <f t="shared" si="107"/>
        <v>0</v>
      </c>
      <c r="BD193" s="40">
        <f t="shared" si="108"/>
        <v>0</v>
      </c>
      <c r="BE193" s="40">
        <v>0</v>
      </c>
      <c r="BF193" s="40">
        <f>193</f>
        <v>193</v>
      </c>
      <c r="BH193" s="40">
        <f t="shared" si="109"/>
        <v>0</v>
      </c>
      <c r="BI193" s="40">
        <f t="shared" si="110"/>
        <v>0</v>
      </c>
      <c r="BJ193" s="40">
        <f t="shared" si="111"/>
        <v>0</v>
      </c>
      <c r="BK193" s="40"/>
      <c r="BL193" s="40"/>
    </row>
    <row r="194" spans="1:64" ht="15" customHeight="1">
      <c r="A194" s="9" t="s">
        <v>412</v>
      </c>
      <c r="B194" s="33" t="s">
        <v>571</v>
      </c>
      <c r="C194" s="61" t="s">
        <v>314</v>
      </c>
      <c r="D194" s="61"/>
      <c r="E194" s="61"/>
      <c r="F194" s="61"/>
      <c r="G194" s="33" t="s">
        <v>154</v>
      </c>
      <c r="H194" s="40">
        <v>11</v>
      </c>
      <c r="I194" s="40">
        <v>0</v>
      </c>
      <c r="J194" s="40">
        <f t="shared" si="90"/>
        <v>0</v>
      </c>
      <c r="K194" s="40">
        <f t="shared" si="91"/>
        <v>0</v>
      </c>
      <c r="L194" s="40">
        <f t="shared" si="92"/>
        <v>0</v>
      </c>
      <c r="M194" s="19" t="s">
        <v>473</v>
      </c>
      <c r="Z194" s="40">
        <f t="shared" si="93"/>
        <v>0</v>
      </c>
      <c r="AB194" s="40">
        <f t="shared" si="94"/>
        <v>0</v>
      </c>
      <c r="AC194" s="40">
        <f t="shared" si="95"/>
        <v>0</v>
      </c>
      <c r="AD194" s="40">
        <f t="shared" si="96"/>
        <v>0</v>
      </c>
      <c r="AE194" s="40">
        <f t="shared" si="97"/>
        <v>0</v>
      </c>
      <c r="AF194" s="40">
        <f t="shared" si="98"/>
        <v>0</v>
      </c>
      <c r="AG194" s="40">
        <f t="shared" si="99"/>
        <v>0</v>
      </c>
      <c r="AH194" s="40">
        <f t="shared" si="100"/>
        <v>0</v>
      </c>
      <c r="AI194" s="31" t="s">
        <v>391</v>
      </c>
      <c r="AJ194" s="40">
        <f t="shared" si="101"/>
        <v>0</v>
      </c>
      <c r="AK194" s="40">
        <f t="shared" si="102"/>
        <v>0</v>
      </c>
      <c r="AL194" s="40">
        <f t="shared" si="103"/>
        <v>0</v>
      </c>
      <c r="AN194" s="40">
        <v>21</v>
      </c>
      <c r="AO194" s="40">
        <f>I194*0.140990990990991</f>
        <v>0</v>
      </c>
      <c r="AP194" s="40">
        <f>I194*(1-0.140990990990991)</f>
        <v>0</v>
      </c>
      <c r="AQ194" s="38" t="s">
        <v>385</v>
      </c>
      <c r="AV194" s="40">
        <f t="shared" si="104"/>
        <v>0</v>
      </c>
      <c r="AW194" s="40">
        <f t="shared" si="105"/>
        <v>0</v>
      </c>
      <c r="AX194" s="40">
        <f t="shared" si="106"/>
        <v>0</v>
      </c>
      <c r="AY194" s="38" t="s">
        <v>574</v>
      </c>
      <c r="AZ194" s="38" t="s">
        <v>208</v>
      </c>
      <c r="BA194" s="31" t="s">
        <v>427</v>
      </c>
      <c r="BC194" s="40">
        <f t="shared" si="107"/>
        <v>0</v>
      </c>
      <c r="BD194" s="40">
        <f t="shared" si="108"/>
        <v>0</v>
      </c>
      <c r="BE194" s="40">
        <v>0</v>
      </c>
      <c r="BF194" s="40">
        <f>194</f>
        <v>194</v>
      </c>
      <c r="BH194" s="40">
        <f t="shared" si="109"/>
        <v>0</v>
      </c>
      <c r="BI194" s="40">
        <f t="shared" si="110"/>
        <v>0</v>
      </c>
      <c r="BJ194" s="40">
        <f t="shared" si="111"/>
        <v>0</v>
      </c>
      <c r="BK194" s="40"/>
      <c r="BL194" s="40"/>
    </row>
    <row r="195" spans="1:64" ht="15" customHeight="1">
      <c r="A195" s="9" t="s">
        <v>190</v>
      </c>
      <c r="B195" s="33" t="s">
        <v>565</v>
      </c>
      <c r="C195" s="61" t="s">
        <v>272</v>
      </c>
      <c r="D195" s="61"/>
      <c r="E195" s="61"/>
      <c r="F195" s="61"/>
      <c r="G195" s="33" t="s">
        <v>154</v>
      </c>
      <c r="H195" s="40">
        <v>12</v>
      </c>
      <c r="I195" s="40">
        <v>0</v>
      </c>
      <c r="J195" s="40">
        <f t="shared" si="90"/>
        <v>0</v>
      </c>
      <c r="K195" s="40">
        <f t="shared" si="91"/>
        <v>0</v>
      </c>
      <c r="L195" s="40">
        <f t="shared" si="92"/>
        <v>0</v>
      </c>
      <c r="M195" s="19" t="s">
        <v>473</v>
      </c>
      <c r="Z195" s="40">
        <f t="shared" si="93"/>
        <v>0</v>
      </c>
      <c r="AB195" s="40">
        <f t="shared" si="94"/>
        <v>0</v>
      </c>
      <c r="AC195" s="40">
        <f t="shared" si="95"/>
        <v>0</v>
      </c>
      <c r="AD195" s="40">
        <f t="shared" si="96"/>
        <v>0</v>
      </c>
      <c r="AE195" s="40">
        <f t="shared" si="97"/>
        <v>0</v>
      </c>
      <c r="AF195" s="40">
        <f t="shared" si="98"/>
        <v>0</v>
      </c>
      <c r="AG195" s="40">
        <f t="shared" si="99"/>
        <v>0</v>
      </c>
      <c r="AH195" s="40">
        <f t="shared" si="100"/>
        <v>0</v>
      </c>
      <c r="AI195" s="31" t="s">
        <v>391</v>
      </c>
      <c r="AJ195" s="40">
        <f t="shared" si="101"/>
        <v>0</v>
      </c>
      <c r="AK195" s="40">
        <f t="shared" si="102"/>
        <v>0</v>
      </c>
      <c r="AL195" s="40">
        <f t="shared" si="103"/>
        <v>0</v>
      </c>
      <c r="AN195" s="40">
        <v>21</v>
      </c>
      <c r="AO195" s="40">
        <f>I195*0</f>
        <v>0</v>
      </c>
      <c r="AP195" s="40">
        <f>I195*(1-0)</f>
        <v>0</v>
      </c>
      <c r="AQ195" s="38" t="s">
        <v>385</v>
      </c>
      <c r="AV195" s="40">
        <f t="shared" si="104"/>
        <v>0</v>
      </c>
      <c r="AW195" s="40">
        <f t="shared" si="105"/>
        <v>0</v>
      </c>
      <c r="AX195" s="40">
        <f t="shared" si="106"/>
        <v>0</v>
      </c>
      <c r="AY195" s="38" t="s">
        <v>574</v>
      </c>
      <c r="AZ195" s="38" t="s">
        <v>208</v>
      </c>
      <c r="BA195" s="31" t="s">
        <v>427</v>
      </c>
      <c r="BC195" s="40">
        <f t="shared" si="107"/>
        <v>0</v>
      </c>
      <c r="BD195" s="40">
        <f t="shared" si="108"/>
        <v>0</v>
      </c>
      <c r="BE195" s="40">
        <v>0</v>
      </c>
      <c r="BF195" s="40">
        <f>195</f>
        <v>195</v>
      </c>
      <c r="BH195" s="40">
        <f t="shared" si="109"/>
        <v>0</v>
      </c>
      <c r="BI195" s="40">
        <f t="shared" si="110"/>
        <v>0</v>
      </c>
      <c r="BJ195" s="40">
        <f t="shared" si="111"/>
        <v>0</v>
      </c>
      <c r="BK195" s="40"/>
      <c r="BL195" s="40"/>
    </row>
    <row r="196" spans="1:64" ht="15" customHeight="1">
      <c r="A196" s="9" t="s">
        <v>261</v>
      </c>
      <c r="B196" s="33" t="s">
        <v>408</v>
      </c>
      <c r="C196" s="61" t="s">
        <v>35</v>
      </c>
      <c r="D196" s="61"/>
      <c r="E196" s="61"/>
      <c r="F196" s="61"/>
      <c r="G196" s="33" t="s">
        <v>491</v>
      </c>
      <c r="H196" s="40">
        <v>6</v>
      </c>
      <c r="I196" s="40">
        <v>0</v>
      </c>
      <c r="J196" s="40">
        <f t="shared" si="90"/>
        <v>0</v>
      </c>
      <c r="K196" s="40">
        <f t="shared" si="91"/>
        <v>0</v>
      </c>
      <c r="L196" s="40">
        <f t="shared" si="92"/>
        <v>0</v>
      </c>
      <c r="M196" s="19" t="s">
        <v>391</v>
      </c>
      <c r="Z196" s="40">
        <f t="shared" si="93"/>
        <v>0</v>
      </c>
      <c r="AB196" s="40">
        <f t="shared" si="94"/>
        <v>0</v>
      </c>
      <c r="AC196" s="40">
        <f t="shared" si="95"/>
        <v>0</v>
      </c>
      <c r="AD196" s="40">
        <f t="shared" si="96"/>
        <v>0</v>
      </c>
      <c r="AE196" s="40">
        <f t="shared" si="97"/>
        <v>0</v>
      </c>
      <c r="AF196" s="40">
        <f t="shared" si="98"/>
        <v>0</v>
      </c>
      <c r="AG196" s="40">
        <f t="shared" si="99"/>
        <v>0</v>
      </c>
      <c r="AH196" s="40">
        <f t="shared" si="100"/>
        <v>0</v>
      </c>
      <c r="AI196" s="31" t="s">
        <v>391</v>
      </c>
      <c r="AJ196" s="40">
        <f t="shared" si="101"/>
        <v>0</v>
      </c>
      <c r="AK196" s="40">
        <f t="shared" si="102"/>
        <v>0</v>
      </c>
      <c r="AL196" s="40">
        <f t="shared" si="103"/>
        <v>0</v>
      </c>
      <c r="AN196" s="40">
        <v>21</v>
      </c>
      <c r="AO196" s="40">
        <f>I196*0</f>
        <v>0</v>
      </c>
      <c r="AP196" s="40">
        <f>I196*(1-0)</f>
        <v>0</v>
      </c>
      <c r="AQ196" s="38" t="s">
        <v>385</v>
      </c>
      <c r="AV196" s="40">
        <f t="shared" si="104"/>
        <v>0</v>
      </c>
      <c r="AW196" s="40">
        <f t="shared" si="105"/>
        <v>0</v>
      </c>
      <c r="AX196" s="40">
        <f t="shared" si="106"/>
        <v>0</v>
      </c>
      <c r="AY196" s="38" t="s">
        <v>574</v>
      </c>
      <c r="AZ196" s="38" t="s">
        <v>208</v>
      </c>
      <c r="BA196" s="31" t="s">
        <v>427</v>
      </c>
      <c r="BC196" s="40">
        <f t="shared" si="107"/>
        <v>0</v>
      </c>
      <c r="BD196" s="40">
        <f t="shared" si="108"/>
        <v>0</v>
      </c>
      <c r="BE196" s="40">
        <v>0</v>
      </c>
      <c r="BF196" s="40">
        <f>196</f>
        <v>196</v>
      </c>
      <c r="BH196" s="40">
        <f t="shared" si="109"/>
        <v>0</v>
      </c>
      <c r="BI196" s="40">
        <f t="shared" si="110"/>
        <v>0</v>
      </c>
      <c r="BJ196" s="40">
        <f t="shared" si="111"/>
        <v>0</v>
      </c>
      <c r="BK196" s="40"/>
      <c r="BL196" s="40"/>
    </row>
    <row r="197" spans="1:47" ht="15" customHeight="1">
      <c r="A197" s="12" t="s">
        <v>391</v>
      </c>
      <c r="B197" s="36" t="s">
        <v>192</v>
      </c>
      <c r="C197" s="76" t="s">
        <v>245</v>
      </c>
      <c r="D197" s="76"/>
      <c r="E197" s="76"/>
      <c r="F197" s="76"/>
      <c r="G197" s="22" t="s">
        <v>513</v>
      </c>
      <c r="H197" s="22" t="s">
        <v>513</v>
      </c>
      <c r="I197" s="22" t="s">
        <v>513</v>
      </c>
      <c r="J197" s="17">
        <f>SUM(J198:J217)</f>
        <v>0</v>
      </c>
      <c r="K197" s="17">
        <f>SUM(K198:K217)</f>
        <v>0</v>
      </c>
      <c r="L197" s="17">
        <f>SUM(L198:L217)</f>
        <v>0</v>
      </c>
      <c r="M197" s="51" t="s">
        <v>391</v>
      </c>
      <c r="AI197" s="31" t="s">
        <v>391</v>
      </c>
      <c r="AS197" s="17">
        <f>SUM(AJ198:AJ217)</f>
        <v>0</v>
      </c>
      <c r="AT197" s="17">
        <f>SUM(AK198:AK217)</f>
        <v>0</v>
      </c>
      <c r="AU197" s="17">
        <f>SUM(AL198:AL217)</f>
        <v>0</v>
      </c>
    </row>
    <row r="198" spans="1:64" ht="15" customHeight="1">
      <c r="A198" s="9" t="s">
        <v>172</v>
      </c>
      <c r="B198" s="33" t="s">
        <v>579</v>
      </c>
      <c r="C198" s="61" t="s">
        <v>241</v>
      </c>
      <c r="D198" s="61"/>
      <c r="E198" s="61"/>
      <c r="F198" s="61"/>
      <c r="G198" s="33" t="s">
        <v>265</v>
      </c>
      <c r="H198" s="40">
        <v>1.654</v>
      </c>
      <c r="I198" s="40">
        <v>0</v>
      </c>
      <c r="J198" s="40">
        <f>H198*AO198</f>
        <v>0</v>
      </c>
      <c r="K198" s="40">
        <f>H198*AP198</f>
        <v>0</v>
      </c>
      <c r="L198" s="40">
        <f>H198*I198</f>
        <v>0</v>
      </c>
      <c r="M198" s="19" t="s">
        <v>216</v>
      </c>
      <c r="Z198" s="40">
        <f>IF(AQ198="5",BJ198,0)</f>
        <v>0</v>
      </c>
      <c r="AB198" s="40">
        <f>IF(AQ198="1",BH198,0)</f>
        <v>0</v>
      </c>
      <c r="AC198" s="40">
        <f>IF(AQ198="1",BI198,0)</f>
        <v>0</v>
      </c>
      <c r="AD198" s="40">
        <f>IF(AQ198="7",BH198,0)</f>
        <v>0</v>
      </c>
      <c r="AE198" s="40">
        <f>IF(AQ198="7",BI198,0)</f>
        <v>0</v>
      </c>
      <c r="AF198" s="40">
        <f>IF(AQ198="2",BH198,0)</f>
        <v>0</v>
      </c>
      <c r="AG198" s="40">
        <f>IF(AQ198="2",BI198,0)</f>
        <v>0</v>
      </c>
      <c r="AH198" s="40">
        <f>IF(AQ198="0",BJ198,0)</f>
        <v>0</v>
      </c>
      <c r="AI198" s="31" t="s">
        <v>391</v>
      </c>
      <c r="AJ198" s="40">
        <f>IF(AN198=0,L198,0)</f>
        <v>0</v>
      </c>
      <c r="AK198" s="40">
        <f>IF(AN198=15,L198,0)</f>
        <v>0</v>
      </c>
      <c r="AL198" s="40">
        <f>IF(AN198=21,L198,0)</f>
        <v>0</v>
      </c>
      <c r="AN198" s="40">
        <v>21</v>
      </c>
      <c r="AO198" s="40">
        <f>I198*0</f>
        <v>0</v>
      </c>
      <c r="AP198" s="40">
        <f>I198*(1-0)</f>
        <v>0</v>
      </c>
      <c r="AQ198" s="38" t="s">
        <v>300</v>
      </c>
      <c r="AV198" s="40">
        <f>AW198+AX198</f>
        <v>0</v>
      </c>
      <c r="AW198" s="40">
        <f>H198*AO198</f>
        <v>0</v>
      </c>
      <c r="AX198" s="40">
        <f>H198*AP198</f>
        <v>0</v>
      </c>
      <c r="AY198" s="38" t="s">
        <v>234</v>
      </c>
      <c r="AZ198" s="38" t="s">
        <v>208</v>
      </c>
      <c r="BA198" s="31" t="s">
        <v>427</v>
      </c>
      <c r="BC198" s="40">
        <f>AW198+AX198</f>
        <v>0</v>
      </c>
      <c r="BD198" s="40">
        <f>I198/(100-BE198)*100</f>
        <v>0</v>
      </c>
      <c r="BE198" s="40">
        <v>0</v>
      </c>
      <c r="BF198" s="40">
        <f>198</f>
        <v>198</v>
      </c>
      <c r="BH198" s="40">
        <f>H198*AO198</f>
        <v>0</v>
      </c>
      <c r="BI198" s="40">
        <f>H198*AP198</f>
        <v>0</v>
      </c>
      <c r="BJ198" s="40">
        <f>H198*I198</f>
        <v>0</v>
      </c>
      <c r="BK198" s="40"/>
      <c r="BL198" s="40"/>
    </row>
    <row r="199" spans="1:13" ht="15" customHeight="1">
      <c r="A199" s="55"/>
      <c r="C199" s="14" t="s">
        <v>311</v>
      </c>
      <c r="F199" s="14" t="s">
        <v>391</v>
      </c>
      <c r="H199" s="45">
        <v>0.49200000000000005</v>
      </c>
      <c r="M199" s="18"/>
    </row>
    <row r="200" spans="1:13" ht="15" customHeight="1">
      <c r="A200" s="55"/>
      <c r="C200" s="14" t="s">
        <v>339</v>
      </c>
      <c r="F200" s="14" t="s">
        <v>391</v>
      </c>
      <c r="H200" s="45">
        <v>0.665</v>
      </c>
      <c r="M200" s="18"/>
    </row>
    <row r="201" spans="1:13" ht="15" customHeight="1">
      <c r="A201" s="55"/>
      <c r="C201" s="14" t="s">
        <v>549</v>
      </c>
      <c r="F201" s="14" t="s">
        <v>391</v>
      </c>
      <c r="H201" s="45">
        <v>0.49700000000000005</v>
      </c>
      <c r="M201" s="18"/>
    </row>
    <row r="202" spans="1:64" ht="15" customHeight="1">
      <c r="A202" s="9" t="s">
        <v>163</v>
      </c>
      <c r="B202" s="33" t="s">
        <v>349</v>
      </c>
      <c r="C202" s="61" t="s">
        <v>18</v>
      </c>
      <c r="D202" s="61"/>
      <c r="E202" s="61"/>
      <c r="F202" s="61"/>
      <c r="G202" s="33" t="s">
        <v>265</v>
      </c>
      <c r="H202" s="40">
        <v>1.654</v>
      </c>
      <c r="I202" s="40">
        <v>0</v>
      </c>
      <c r="J202" s="40">
        <f>H202*AO202</f>
        <v>0</v>
      </c>
      <c r="K202" s="40">
        <f>H202*AP202</f>
        <v>0</v>
      </c>
      <c r="L202" s="40">
        <f>H202*I202</f>
        <v>0</v>
      </c>
      <c r="M202" s="19" t="s">
        <v>216</v>
      </c>
      <c r="Z202" s="40">
        <f>IF(AQ202="5",BJ202,0)</f>
        <v>0</v>
      </c>
      <c r="AB202" s="40">
        <f>IF(AQ202="1",BH202,0)</f>
        <v>0</v>
      </c>
      <c r="AC202" s="40">
        <f>IF(AQ202="1",BI202,0)</f>
        <v>0</v>
      </c>
      <c r="AD202" s="40">
        <f>IF(AQ202="7",BH202,0)</f>
        <v>0</v>
      </c>
      <c r="AE202" s="40">
        <f>IF(AQ202="7",BI202,0)</f>
        <v>0</v>
      </c>
      <c r="AF202" s="40">
        <f>IF(AQ202="2",BH202,0)</f>
        <v>0</v>
      </c>
      <c r="AG202" s="40">
        <f>IF(AQ202="2",BI202,0)</f>
        <v>0</v>
      </c>
      <c r="AH202" s="40">
        <f>IF(AQ202="0",BJ202,0)</f>
        <v>0</v>
      </c>
      <c r="AI202" s="31" t="s">
        <v>391</v>
      </c>
      <c r="AJ202" s="40">
        <f>IF(AN202=0,L202,0)</f>
        <v>0</v>
      </c>
      <c r="AK202" s="40">
        <f>IF(AN202=15,L202,0)</f>
        <v>0</v>
      </c>
      <c r="AL202" s="40">
        <f>IF(AN202=21,L202,0)</f>
        <v>0</v>
      </c>
      <c r="AN202" s="40">
        <v>21</v>
      </c>
      <c r="AO202" s="40">
        <f>I202*0</f>
        <v>0</v>
      </c>
      <c r="AP202" s="40">
        <f>I202*(1-0)</f>
        <v>0</v>
      </c>
      <c r="AQ202" s="38" t="s">
        <v>300</v>
      </c>
      <c r="AV202" s="40">
        <f>AW202+AX202</f>
        <v>0</v>
      </c>
      <c r="AW202" s="40">
        <f>H202*AO202</f>
        <v>0</v>
      </c>
      <c r="AX202" s="40">
        <f>H202*AP202</f>
        <v>0</v>
      </c>
      <c r="AY202" s="38" t="s">
        <v>234</v>
      </c>
      <c r="AZ202" s="38" t="s">
        <v>208</v>
      </c>
      <c r="BA202" s="31" t="s">
        <v>427</v>
      </c>
      <c r="BC202" s="40">
        <f>AW202+AX202</f>
        <v>0</v>
      </c>
      <c r="BD202" s="40">
        <f>I202/(100-BE202)*100</f>
        <v>0</v>
      </c>
      <c r="BE202" s="40">
        <v>0</v>
      </c>
      <c r="BF202" s="40">
        <f>202</f>
        <v>202</v>
      </c>
      <c r="BH202" s="40">
        <f>H202*AO202</f>
        <v>0</v>
      </c>
      <c r="BI202" s="40">
        <f>H202*AP202</f>
        <v>0</v>
      </c>
      <c r="BJ202" s="40">
        <f>H202*I202</f>
        <v>0</v>
      </c>
      <c r="BK202" s="40"/>
      <c r="BL202" s="40"/>
    </row>
    <row r="203" spans="1:13" ht="15" customHeight="1">
      <c r="A203" s="55"/>
      <c r="C203" s="14" t="s">
        <v>311</v>
      </c>
      <c r="F203" s="14" t="s">
        <v>391</v>
      </c>
      <c r="H203" s="45">
        <v>0.49200000000000005</v>
      </c>
      <c r="M203" s="18"/>
    </row>
    <row r="204" spans="1:13" ht="15" customHeight="1">
      <c r="A204" s="55"/>
      <c r="C204" s="14" t="s">
        <v>10</v>
      </c>
      <c r="F204" s="14" t="s">
        <v>391</v>
      </c>
      <c r="H204" s="45">
        <v>0.665</v>
      </c>
      <c r="M204" s="18"/>
    </row>
    <row r="205" spans="1:13" ht="15" customHeight="1">
      <c r="A205" s="55"/>
      <c r="C205" s="14" t="s">
        <v>549</v>
      </c>
      <c r="F205" s="14" t="s">
        <v>391</v>
      </c>
      <c r="H205" s="45">
        <v>0.49700000000000005</v>
      </c>
      <c r="M205" s="18"/>
    </row>
    <row r="206" spans="1:64" ht="15" customHeight="1">
      <c r="A206" s="9" t="s">
        <v>560</v>
      </c>
      <c r="B206" s="33" t="s">
        <v>555</v>
      </c>
      <c r="C206" s="61" t="s">
        <v>551</v>
      </c>
      <c r="D206" s="61"/>
      <c r="E206" s="61"/>
      <c r="F206" s="61"/>
      <c r="G206" s="33" t="s">
        <v>265</v>
      </c>
      <c r="H206" s="40">
        <v>1.654</v>
      </c>
      <c r="I206" s="40">
        <v>0</v>
      </c>
      <c r="J206" s="40">
        <f>H206*AO206</f>
        <v>0</v>
      </c>
      <c r="K206" s="40">
        <f>H206*AP206</f>
        <v>0</v>
      </c>
      <c r="L206" s="40">
        <f>H206*I206</f>
        <v>0</v>
      </c>
      <c r="M206" s="19" t="s">
        <v>216</v>
      </c>
      <c r="Z206" s="40">
        <f>IF(AQ206="5",BJ206,0)</f>
        <v>0</v>
      </c>
      <c r="AB206" s="40">
        <f>IF(AQ206="1",BH206,0)</f>
        <v>0</v>
      </c>
      <c r="AC206" s="40">
        <f>IF(AQ206="1",BI206,0)</f>
        <v>0</v>
      </c>
      <c r="AD206" s="40">
        <f>IF(AQ206="7",BH206,0)</f>
        <v>0</v>
      </c>
      <c r="AE206" s="40">
        <f>IF(AQ206="7",BI206,0)</f>
        <v>0</v>
      </c>
      <c r="AF206" s="40">
        <f>IF(AQ206="2",BH206,0)</f>
        <v>0</v>
      </c>
      <c r="AG206" s="40">
        <f>IF(AQ206="2",BI206,0)</f>
        <v>0</v>
      </c>
      <c r="AH206" s="40">
        <f>IF(AQ206="0",BJ206,0)</f>
        <v>0</v>
      </c>
      <c r="AI206" s="31" t="s">
        <v>391</v>
      </c>
      <c r="AJ206" s="40">
        <f>IF(AN206=0,L206,0)</f>
        <v>0</v>
      </c>
      <c r="AK206" s="40">
        <f>IF(AN206=15,L206,0)</f>
        <v>0</v>
      </c>
      <c r="AL206" s="40">
        <f>IF(AN206=21,L206,0)</f>
        <v>0</v>
      </c>
      <c r="AN206" s="40">
        <v>21</v>
      </c>
      <c r="AO206" s="40">
        <f>I206*0</f>
        <v>0</v>
      </c>
      <c r="AP206" s="40">
        <f>I206*(1-0)</f>
        <v>0</v>
      </c>
      <c r="AQ206" s="38" t="s">
        <v>300</v>
      </c>
      <c r="AV206" s="40">
        <f>AW206+AX206</f>
        <v>0</v>
      </c>
      <c r="AW206" s="40">
        <f>H206*AO206</f>
        <v>0</v>
      </c>
      <c r="AX206" s="40">
        <f>H206*AP206</f>
        <v>0</v>
      </c>
      <c r="AY206" s="38" t="s">
        <v>234</v>
      </c>
      <c r="AZ206" s="38" t="s">
        <v>208</v>
      </c>
      <c r="BA206" s="31" t="s">
        <v>427</v>
      </c>
      <c r="BC206" s="40">
        <f>AW206+AX206</f>
        <v>0</v>
      </c>
      <c r="BD206" s="40">
        <f>I206/(100-BE206)*100</f>
        <v>0</v>
      </c>
      <c r="BE206" s="40">
        <v>0</v>
      </c>
      <c r="BF206" s="40">
        <f>206</f>
        <v>206</v>
      </c>
      <c r="BH206" s="40">
        <f>H206*AO206</f>
        <v>0</v>
      </c>
      <c r="BI206" s="40">
        <f>H206*AP206</f>
        <v>0</v>
      </c>
      <c r="BJ206" s="40">
        <f>H206*I206</f>
        <v>0</v>
      </c>
      <c r="BK206" s="40"/>
      <c r="BL206" s="40"/>
    </row>
    <row r="207" spans="1:13" ht="15" customHeight="1">
      <c r="A207" s="55"/>
      <c r="C207" s="14" t="s">
        <v>311</v>
      </c>
      <c r="F207" s="14" t="s">
        <v>391</v>
      </c>
      <c r="H207" s="45">
        <v>0.49200000000000005</v>
      </c>
      <c r="M207" s="18"/>
    </row>
    <row r="208" spans="1:13" ht="15" customHeight="1">
      <c r="A208" s="55"/>
      <c r="C208" s="14" t="s">
        <v>10</v>
      </c>
      <c r="F208" s="14" t="s">
        <v>391</v>
      </c>
      <c r="H208" s="45">
        <v>0.665</v>
      </c>
      <c r="M208" s="18"/>
    </row>
    <row r="209" spans="1:13" ht="15" customHeight="1">
      <c r="A209" s="55"/>
      <c r="C209" s="14" t="s">
        <v>549</v>
      </c>
      <c r="F209" s="14" t="s">
        <v>391</v>
      </c>
      <c r="H209" s="45">
        <v>0.49700000000000005</v>
      </c>
      <c r="M209" s="18"/>
    </row>
    <row r="210" spans="1:64" ht="15" customHeight="1">
      <c r="A210" s="9" t="s">
        <v>210</v>
      </c>
      <c r="B210" s="33" t="s">
        <v>475</v>
      </c>
      <c r="C210" s="61" t="s">
        <v>466</v>
      </c>
      <c r="D210" s="61"/>
      <c r="E210" s="61"/>
      <c r="F210" s="61"/>
      <c r="G210" s="33" t="s">
        <v>265</v>
      </c>
      <c r="H210" s="40">
        <v>26.467</v>
      </c>
      <c r="I210" s="40">
        <v>0</v>
      </c>
      <c r="J210" s="40">
        <f>H210*AO210</f>
        <v>0</v>
      </c>
      <c r="K210" s="40">
        <f>H210*AP210</f>
        <v>0</v>
      </c>
      <c r="L210" s="40">
        <f>H210*I210</f>
        <v>0</v>
      </c>
      <c r="M210" s="19" t="s">
        <v>216</v>
      </c>
      <c r="Z210" s="40">
        <f>IF(AQ210="5",BJ210,0)</f>
        <v>0</v>
      </c>
      <c r="AB210" s="40">
        <f>IF(AQ210="1",BH210,0)</f>
        <v>0</v>
      </c>
      <c r="AC210" s="40">
        <f>IF(AQ210="1",BI210,0)</f>
        <v>0</v>
      </c>
      <c r="AD210" s="40">
        <f>IF(AQ210="7",BH210,0)</f>
        <v>0</v>
      </c>
      <c r="AE210" s="40">
        <f>IF(AQ210="7",BI210,0)</f>
        <v>0</v>
      </c>
      <c r="AF210" s="40">
        <f>IF(AQ210="2",BH210,0)</f>
        <v>0</v>
      </c>
      <c r="AG210" s="40">
        <f>IF(AQ210="2",BI210,0)</f>
        <v>0</v>
      </c>
      <c r="AH210" s="40">
        <f>IF(AQ210="0",BJ210,0)</f>
        <v>0</v>
      </c>
      <c r="AI210" s="31" t="s">
        <v>391</v>
      </c>
      <c r="AJ210" s="40">
        <f>IF(AN210=0,L210,0)</f>
        <v>0</v>
      </c>
      <c r="AK210" s="40">
        <f>IF(AN210=15,L210,0)</f>
        <v>0</v>
      </c>
      <c r="AL210" s="40">
        <f>IF(AN210=21,L210,0)</f>
        <v>0</v>
      </c>
      <c r="AN210" s="40">
        <v>21</v>
      </c>
      <c r="AO210" s="40">
        <f>I210*0</f>
        <v>0</v>
      </c>
      <c r="AP210" s="40">
        <f>I210*(1-0)</f>
        <v>0</v>
      </c>
      <c r="AQ210" s="38" t="s">
        <v>300</v>
      </c>
      <c r="AV210" s="40">
        <f>AW210+AX210</f>
        <v>0</v>
      </c>
      <c r="AW210" s="40">
        <f>H210*AO210</f>
        <v>0</v>
      </c>
      <c r="AX210" s="40">
        <f>H210*AP210</f>
        <v>0</v>
      </c>
      <c r="AY210" s="38" t="s">
        <v>234</v>
      </c>
      <c r="AZ210" s="38" t="s">
        <v>208</v>
      </c>
      <c r="BA210" s="31" t="s">
        <v>427</v>
      </c>
      <c r="BC210" s="40">
        <f>AW210+AX210</f>
        <v>0</v>
      </c>
      <c r="BD210" s="40">
        <f>I210/(100-BE210)*100</f>
        <v>0</v>
      </c>
      <c r="BE210" s="40">
        <v>0</v>
      </c>
      <c r="BF210" s="40">
        <f>210</f>
        <v>210</v>
      </c>
      <c r="BH210" s="40">
        <f>H210*AO210</f>
        <v>0</v>
      </c>
      <c r="BI210" s="40">
        <f>H210*AP210</f>
        <v>0</v>
      </c>
      <c r="BJ210" s="40">
        <f>H210*I210</f>
        <v>0</v>
      </c>
      <c r="BK210" s="40"/>
      <c r="BL210" s="40"/>
    </row>
    <row r="211" spans="1:13" ht="15" customHeight="1">
      <c r="A211" s="55"/>
      <c r="C211" s="14" t="s">
        <v>327</v>
      </c>
      <c r="F211" s="14" t="s">
        <v>391</v>
      </c>
      <c r="H211" s="45">
        <v>7.869000000000001</v>
      </c>
      <c r="M211" s="18"/>
    </row>
    <row r="212" spans="1:13" ht="15" customHeight="1">
      <c r="A212" s="55"/>
      <c r="C212" s="14" t="s">
        <v>215</v>
      </c>
      <c r="F212" s="14" t="s">
        <v>391</v>
      </c>
      <c r="H212" s="45">
        <v>10.64</v>
      </c>
      <c r="M212" s="18"/>
    </row>
    <row r="213" spans="1:13" ht="15" customHeight="1">
      <c r="A213" s="55"/>
      <c r="C213" s="14" t="s">
        <v>242</v>
      </c>
      <c r="F213" s="14" t="s">
        <v>391</v>
      </c>
      <c r="H213" s="45">
        <v>7.958000000000001</v>
      </c>
      <c r="M213" s="18"/>
    </row>
    <row r="214" spans="1:64" ht="15" customHeight="1">
      <c r="A214" s="9" t="s">
        <v>168</v>
      </c>
      <c r="B214" s="33" t="s">
        <v>436</v>
      </c>
      <c r="C214" s="61" t="s">
        <v>403</v>
      </c>
      <c r="D214" s="61"/>
      <c r="E214" s="61"/>
      <c r="F214" s="61"/>
      <c r="G214" s="33" t="s">
        <v>265</v>
      </c>
      <c r="H214" s="40">
        <v>1.654</v>
      </c>
      <c r="I214" s="40">
        <v>0</v>
      </c>
      <c r="J214" s="40">
        <f>H214*AO214</f>
        <v>0</v>
      </c>
      <c r="K214" s="40">
        <f>H214*AP214</f>
        <v>0</v>
      </c>
      <c r="L214" s="40">
        <f>H214*I214</f>
        <v>0</v>
      </c>
      <c r="M214" s="19" t="s">
        <v>216</v>
      </c>
      <c r="Z214" s="40">
        <f>IF(AQ214="5",BJ214,0)</f>
        <v>0</v>
      </c>
      <c r="AB214" s="40">
        <f>IF(AQ214="1",BH214,0)</f>
        <v>0</v>
      </c>
      <c r="AC214" s="40">
        <f>IF(AQ214="1",BI214,0)</f>
        <v>0</v>
      </c>
      <c r="AD214" s="40">
        <f>IF(AQ214="7",BH214,0)</f>
        <v>0</v>
      </c>
      <c r="AE214" s="40">
        <f>IF(AQ214="7",BI214,0)</f>
        <v>0</v>
      </c>
      <c r="AF214" s="40">
        <f>IF(AQ214="2",BH214,0)</f>
        <v>0</v>
      </c>
      <c r="AG214" s="40">
        <f>IF(AQ214="2",BI214,0)</f>
        <v>0</v>
      </c>
      <c r="AH214" s="40">
        <f>IF(AQ214="0",BJ214,0)</f>
        <v>0</v>
      </c>
      <c r="AI214" s="31" t="s">
        <v>391</v>
      </c>
      <c r="AJ214" s="40">
        <f>IF(AN214=0,L214,0)</f>
        <v>0</v>
      </c>
      <c r="AK214" s="40">
        <f>IF(AN214=15,L214,0)</f>
        <v>0</v>
      </c>
      <c r="AL214" s="40">
        <f>IF(AN214=21,L214,0)</f>
        <v>0</v>
      </c>
      <c r="AN214" s="40">
        <v>21</v>
      </c>
      <c r="AO214" s="40">
        <f>I214*0</f>
        <v>0</v>
      </c>
      <c r="AP214" s="40">
        <f>I214*(1-0)</f>
        <v>0</v>
      </c>
      <c r="AQ214" s="38" t="s">
        <v>300</v>
      </c>
      <c r="AV214" s="40">
        <f>AW214+AX214</f>
        <v>0</v>
      </c>
      <c r="AW214" s="40">
        <f>H214*AO214</f>
        <v>0</v>
      </c>
      <c r="AX214" s="40">
        <f>H214*AP214</f>
        <v>0</v>
      </c>
      <c r="AY214" s="38" t="s">
        <v>234</v>
      </c>
      <c r="AZ214" s="38" t="s">
        <v>208</v>
      </c>
      <c r="BA214" s="31" t="s">
        <v>427</v>
      </c>
      <c r="BC214" s="40">
        <f>AW214+AX214</f>
        <v>0</v>
      </c>
      <c r="BD214" s="40">
        <f>I214/(100-BE214)*100</f>
        <v>0</v>
      </c>
      <c r="BE214" s="40">
        <v>0</v>
      </c>
      <c r="BF214" s="40">
        <f>214</f>
        <v>214</v>
      </c>
      <c r="BH214" s="40">
        <f>H214*AO214</f>
        <v>0</v>
      </c>
      <c r="BI214" s="40">
        <f>H214*AP214</f>
        <v>0</v>
      </c>
      <c r="BJ214" s="40">
        <f>H214*I214</f>
        <v>0</v>
      </c>
      <c r="BK214" s="40"/>
      <c r="BL214" s="40"/>
    </row>
    <row r="215" spans="1:64" ht="15" customHeight="1">
      <c r="A215" s="9" t="s">
        <v>425</v>
      </c>
      <c r="B215" s="33" t="s">
        <v>105</v>
      </c>
      <c r="C215" s="61" t="s">
        <v>600</v>
      </c>
      <c r="D215" s="61"/>
      <c r="E215" s="61"/>
      <c r="F215" s="61"/>
      <c r="G215" s="33" t="s">
        <v>265</v>
      </c>
      <c r="H215" s="40">
        <v>0.492</v>
      </c>
      <c r="I215" s="40">
        <v>0</v>
      </c>
      <c r="J215" s="40">
        <f>H215*AO215</f>
        <v>0</v>
      </c>
      <c r="K215" s="40">
        <f>H215*AP215</f>
        <v>0</v>
      </c>
      <c r="L215" s="40">
        <f>H215*I215</f>
        <v>0</v>
      </c>
      <c r="M215" s="19" t="s">
        <v>216</v>
      </c>
      <c r="Z215" s="40">
        <f>IF(AQ215="5",BJ215,0)</f>
        <v>0</v>
      </c>
      <c r="AB215" s="40">
        <f>IF(AQ215="1",BH215,0)</f>
        <v>0</v>
      </c>
      <c r="AC215" s="40">
        <f>IF(AQ215="1",BI215,0)</f>
        <v>0</v>
      </c>
      <c r="AD215" s="40">
        <f>IF(AQ215="7",BH215,0)</f>
        <v>0</v>
      </c>
      <c r="AE215" s="40">
        <f>IF(AQ215="7",BI215,0)</f>
        <v>0</v>
      </c>
      <c r="AF215" s="40">
        <f>IF(AQ215="2",BH215,0)</f>
        <v>0</v>
      </c>
      <c r="AG215" s="40">
        <f>IF(AQ215="2",BI215,0)</f>
        <v>0</v>
      </c>
      <c r="AH215" s="40">
        <f>IF(AQ215="0",BJ215,0)</f>
        <v>0</v>
      </c>
      <c r="AI215" s="31" t="s">
        <v>391</v>
      </c>
      <c r="AJ215" s="40">
        <f>IF(AN215=0,L215,0)</f>
        <v>0</v>
      </c>
      <c r="AK215" s="40">
        <f>IF(AN215=15,L215,0)</f>
        <v>0</v>
      </c>
      <c r="AL215" s="40">
        <f>IF(AN215=21,L215,0)</f>
        <v>0</v>
      </c>
      <c r="AN215" s="40">
        <v>21</v>
      </c>
      <c r="AO215" s="40">
        <f>I215*0</f>
        <v>0</v>
      </c>
      <c r="AP215" s="40">
        <f>I215*(1-0)</f>
        <v>0</v>
      </c>
      <c r="AQ215" s="38" t="s">
        <v>300</v>
      </c>
      <c r="AV215" s="40">
        <f>AW215+AX215</f>
        <v>0</v>
      </c>
      <c r="AW215" s="40">
        <f>H215*AO215</f>
        <v>0</v>
      </c>
      <c r="AX215" s="40">
        <f>H215*AP215</f>
        <v>0</v>
      </c>
      <c r="AY215" s="38" t="s">
        <v>234</v>
      </c>
      <c r="AZ215" s="38" t="s">
        <v>208</v>
      </c>
      <c r="BA215" s="31" t="s">
        <v>427</v>
      </c>
      <c r="BC215" s="40">
        <f>AW215+AX215</f>
        <v>0</v>
      </c>
      <c r="BD215" s="40">
        <f>I215/(100-BE215)*100</f>
        <v>0</v>
      </c>
      <c r="BE215" s="40">
        <v>0</v>
      </c>
      <c r="BF215" s="40">
        <f>215</f>
        <v>215</v>
      </c>
      <c r="BH215" s="40">
        <f>H215*AO215</f>
        <v>0</v>
      </c>
      <c r="BI215" s="40">
        <f>H215*AP215</f>
        <v>0</v>
      </c>
      <c r="BJ215" s="40">
        <f>H215*I215</f>
        <v>0</v>
      </c>
      <c r="BK215" s="40"/>
      <c r="BL215" s="40"/>
    </row>
    <row r="216" spans="1:64" ht="15" customHeight="1">
      <c r="A216" s="9" t="s">
        <v>86</v>
      </c>
      <c r="B216" s="33" t="s">
        <v>52</v>
      </c>
      <c r="C216" s="61" t="s">
        <v>297</v>
      </c>
      <c r="D216" s="61"/>
      <c r="E216" s="61"/>
      <c r="F216" s="61"/>
      <c r="G216" s="33" t="s">
        <v>265</v>
      </c>
      <c r="H216" s="40">
        <v>0.665</v>
      </c>
      <c r="I216" s="40">
        <v>0</v>
      </c>
      <c r="J216" s="40">
        <f>H216*AO216</f>
        <v>0</v>
      </c>
      <c r="K216" s="40">
        <f>H216*AP216</f>
        <v>0</v>
      </c>
      <c r="L216" s="40">
        <f>H216*I216</f>
        <v>0</v>
      </c>
      <c r="M216" s="19" t="s">
        <v>216</v>
      </c>
      <c r="Z216" s="40">
        <f>IF(AQ216="5",BJ216,0)</f>
        <v>0</v>
      </c>
      <c r="AB216" s="40">
        <f>IF(AQ216="1",BH216,0)</f>
        <v>0</v>
      </c>
      <c r="AC216" s="40">
        <f>IF(AQ216="1",BI216,0)</f>
        <v>0</v>
      </c>
      <c r="AD216" s="40">
        <f>IF(AQ216="7",BH216,0)</f>
        <v>0</v>
      </c>
      <c r="AE216" s="40">
        <f>IF(AQ216="7",BI216,0)</f>
        <v>0</v>
      </c>
      <c r="AF216" s="40">
        <f>IF(AQ216="2",BH216,0)</f>
        <v>0</v>
      </c>
      <c r="AG216" s="40">
        <f>IF(AQ216="2",BI216,0)</f>
        <v>0</v>
      </c>
      <c r="AH216" s="40">
        <f>IF(AQ216="0",BJ216,0)</f>
        <v>0</v>
      </c>
      <c r="AI216" s="31" t="s">
        <v>391</v>
      </c>
      <c r="AJ216" s="40">
        <f>IF(AN216=0,L216,0)</f>
        <v>0</v>
      </c>
      <c r="AK216" s="40">
        <f>IF(AN216=15,L216,0)</f>
        <v>0</v>
      </c>
      <c r="AL216" s="40">
        <f>IF(AN216=21,L216,0)</f>
        <v>0</v>
      </c>
      <c r="AN216" s="40">
        <v>21</v>
      </c>
      <c r="AO216" s="40">
        <f>I216*0</f>
        <v>0</v>
      </c>
      <c r="AP216" s="40">
        <f>I216*(1-0)</f>
        <v>0</v>
      </c>
      <c r="AQ216" s="38" t="s">
        <v>300</v>
      </c>
      <c r="AV216" s="40">
        <f>AW216+AX216</f>
        <v>0</v>
      </c>
      <c r="AW216" s="40">
        <f>H216*AO216</f>
        <v>0</v>
      </c>
      <c r="AX216" s="40">
        <f>H216*AP216</f>
        <v>0</v>
      </c>
      <c r="AY216" s="38" t="s">
        <v>234</v>
      </c>
      <c r="AZ216" s="38" t="s">
        <v>208</v>
      </c>
      <c r="BA216" s="31" t="s">
        <v>427</v>
      </c>
      <c r="BC216" s="40">
        <f>AW216+AX216</f>
        <v>0</v>
      </c>
      <c r="BD216" s="40">
        <f>I216/(100-BE216)*100</f>
        <v>0</v>
      </c>
      <c r="BE216" s="40">
        <v>0</v>
      </c>
      <c r="BF216" s="40">
        <f>216</f>
        <v>216</v>
      </c>
      <c r="BH216" s="40">
        <f>H216*AO216</f>
        <v>0</v>
      </c>
      <c r="BI216" s="40">
        <f>H216*AP216</f>
        <v>0</v>
      </c>
      <c r="BJ216" s="40">
        <f>H216*I216</f>
        <v>0</v>
      </c>
      <c r="BK216" s="40"/>
      <c r="BL216" s="40"/>
    </row>
    <row r="217" spans="1:64" ht="15" customHeight="1">
      <c r="A217" s="42" t="s">
        <v>516</v>
      </c>
      <c r="B217" s="30" t="s">
        <v>313</v>
      </c>
      <c r="C217" s="77" t="s">
        <v>211</v>
      </c>
      <c r="D217" s="77"/>
      <c r="E217" s="77"/>
      <c r="F217" s="77"/>
      <c r="G217" s="30" t="s">
        <v>265</v>
      </c>
      <c r="H217" s="16">
        <v>0.497</v>
      </c>
      <c r="I217" s="16">
        <v>0</v>
      </c>
      <c r="J217" s="16">
        <f>H217*AO217</f>
        <v>0</v>
      </c>
      <c r="K217" s="16">
        <f>H217*AP217</f>
        <v>0</v>
      </c>
      <c r="L217" s="16">
        <f>H217*I217</f>
        <v>0</v>
      </c>
      <c r="M217" s="53" t="s">
        <v>216</v>
      </c>
      <c r="Z217" s="40">
        <f>IF(AQ217="5",BJ217,0)</f>
        <v>0</v>
      </c>
      <c r="AB217" s="40">
        <f>IF(AQ217="1",BH217,0)</f>
        <v>0</v>
      </c>
      <c r="AC217" s="40">
        <f>IF(AQ217="1",BI217,0)</f>
        <v>0</v>
      </c>
      <c r="AD217" s="40">
        <f>IF(AQ217="7",BH217,0)</f>
        <v>0</v>
      </c>
      <c r="AE217" s="40">
        <f>IF(AQ217="7",BI217,0)</f>
        <v>0</v>
      </c>
      <c r="AF217" s="40">
        <f>IF(AQ217="2",BH217,0)</f>
        <v>0</v>
      </c>
      <c r="AG217" s="40">
        <f>IF(AQ217="2",BI217,0)</f>
        <v>0</v>
      </c>
      <c r="AH217" s="40">
        <f>IF(AQ217="0",BJ217,0)</f>
        <v>0</v>
      </c>
      <c r="AI217" s="31" t="s">
        <v>391</v>
      </c>
      <c r="AJ217" s="40">
        <f>IF(AN217=0,L217,0)</f>
        <v>0</v>
      </c>
      <c r="AK217" s="40">
        <f>IF(AN217=15,L217,0)</f>
        <v>0</v>
      </c>
      <c r="AL217" s="40">
        <f>IF(AN217=21,L217,0)</f>
        <v>0</v>
      </c>
      <c r="AN217" s="40">
        <v>21</v>
      </c>
      <c r="AO217" s="40">
        <f>I217*0</f>
        <v>0</v>
      </c>
      <c r="AP217" s="40">
        <f>I217*(1-0)</f>
        <v>0</v>
      </c>
      <c r="AQ217" s="38" t="s">
        <v>300</v>
      </c>
      <c r="AV217" s="40">
        <f>AW217+AX217</f>
        <v>0</v>
      </c>
      <c r="AW217" s="40">
        <f>H217*AO217</f>
        <v>0</v>
      </c>
      <c r="AX217" s="40">
        <f>H217*AP217</f>
        <v>0</v>
      </c>
      <c r="AY217" s="38" t="s">
        <v>234</v>
      </c>
      <c r="AZ217" s="38" t="s">
        <v>208</v>
      </c>
      <c r="BA217" s="31" t="s">
        <v>427</v>
      </c>
      <c r="BC217" s="40">
        <f>AW217+AX217</f>
        <v>0</v>
      </c>
      <c r="BD217" s="40">
        <f>I217/(100-BE217)*100</f>
        <v>0</v>
      </c>
      <c r="BE217" s="40">
        <v>0</v>
      </c>
      <c r="BF217" s="40">
        <f>217</f>
        <v>217</v>
      </c>
      <c r="BH217" s="40">
        <f>H217*AO217</f>
        <v>0</v>
      </c>
      <c r="BI217" s="40">
        <f>H217*AP217</f>
        <v>0</v>
      </c>
      <c r="BJ217" s="40">
        <f>H217*I217</f>
        <v>0</v>
      </c>
      <c r="BK217" s="40"/>
      <c r="BL217" s="40"/>
    </row>
    <row r="218" spans="10:12" ht="15" customHeight="1">
      <c r="J218" s="66" t="s">
        <v>444</v>
      </c>
      <c r="K218" s="66"/>
      <c r="L218" s="28">
        <f>L12+L21+L25+L36+L42+L52+L66+L87+L96+L110+L118+L128+L141+L144+L150+L153+L159+L165+L168+L197</f>
        <v>0</v>
      </c>
    </row>
    <row r="219" ht="15" customHeight="1">
      <c r="A219" s="11" t="s">
        <v>51</v>
      </c>
    </row>
    <row r="220" spans="1:13" ht="12.75" customHeight="1">
      <c r="A220" s="64" t="s">
        <v>391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</row>
  </sheetData>
  <sheetProtection/>
  <mergeCells count="186">
    <mergeCell ref="C216:F216"/>
    <mergeCell ref="C217:F217"/>
    <mergeCell ref="J218:K218"/>
    <mergeCell ref="A220:M220"/>
    <mergeCell ref="C198:F198"/>
    <mergeCell ref="C202:F202"/>
    <mergeCell ref="C206:F206"/>
    <mergeCell ref="C210:F210"/>
    <mergeCell ref="C214:F214"/>
    <mergeCell ref="C215:F215"/>
    <mergeCell ref="C192:F192"/>
    <mergeCell ref="C193:F193"/>
    <mergeCell ref="C194:F194"/>
    <mergeCell ref="C195:F195"/>
    <mergeCell ref="C196:F196"/>
    <mergeCell ref="C197:F197"/>
    <mergeCell ref="C186:F186"/>
    <mergeCell ref="C187:F187"/>
    <mergeCell ref="C188:F188"/>
    <mergeCell ref="C189:F189"/>
    <mergeCell ref="C190:F190"/>
    <mergeCell ref="C191:F191"/>
    <mergeCell ref="C180:F180"/>
    <mergeCell ref="C181:F181"/>
    <mergeCell ref="C182:F182"/>
    <mergeCell ref="C183:F183"/>
    <mergeCell ref="C184:F184"/>
    <mergeCell ref="C185:F185"/>
    <mergeCell ref="C174:F174"/>
    <mergeCell ref="C175:F175"/>
    <mergeCell ref="C176:F176"/>
    <mergeCell ref="C177:F177"/>
    <mergeCell ref="C178:F178"/>
    <mergeCell ref="C179:F179"/>
    <mergeCell ref="C168:F168"/>
    <mergeCell ref="C169:F169"/>
    <mergeCell ref="C170:F170"/>
    <mergeCell ref="C171:F171"/>
    <mergeCell ref="C172:F172"/>
    <mergeCell ref="C173:F173"/>
    <mergeCell ref="C159:F159"/>
    <mergeCell ref="C160:F160"/>
    <mergeCell ref="C162:F162"/>
    <mergeCell ref="C163:F163"/>
    <mergeCell ref="C165:F165"/>
    <mergeCell ref="C166:F166"/>
    <mergeCell ref="C151:F151"/>
    <mergeCell ref="C153:F153"/>
    <mergeCell ref="C154:F154"/>
    <mergeCell ref="C155:F155"/>
    <mergeCell ref="C156:F156"/>
    <mergeCell ref="C158:F158"/>
    <mergeCell ref="C141:F141"/>
    <mergeCell ref="C142:F142"/>
    <mergeCell ref="C144:F144"/>
    <mergeCell ref="C145:F145"/>
    <mergeCell ref="C149:F149"/>
    <mergeCell ref="C150:F150"/>
    <mergeCell ref="C129:F129"/>
    <mergeCell ref="C132:F132"/>
    <mergeCell ref="C134:F134"/>
    <mergeCell ref="C137:F137"/>
    <mergeCell ref="C139:F139"/>
    <mergeCell ref="C140:F140"/>
    <mergeCell ref="C119:F119"/>
    <mergeCell ref="C121:F121"/>
    <mergeCell ref="C123:F123"/>
    <mergeCell ref="C125:F125"/>
    <mergeCell ref="C127:F127"/>
    <mergeCell ref="C128:F128"/>
    <mergeCell ref="C111:F111"/>
    <mergeCell ref="C113:F113"/>
    <mergeCell ref="C114:F114"/>
    <mergeCell ref="C115:F115"/>
    <mergeCell ref="C117:F117"/>
    <mergeCell ref="C118:F118"/>
    <mergeCell ref="C105:F105"/>
    <mergeCell ref="C106:F106"/>
    <mergeCell ref="C107:F107"/>
    <mergeCell ref="C108:F108"/>
    <mergeCell ref="C109:F109"/>
    <mergeCell ref="C110:F110"/>
    <mergeCell ref="C99:F99"/>
    <mergeCell ref="C100:F100"/>
    <mergeCell ref="C101:F101"/>
    <mergeCell ref="C102:F102"/>
    <mergeCell ref="C103:F103"/>
    <mergeCell ref="C104:F104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1:F61"/>
    <mergeCell ref="C62:F62"/>
    <mergeCell ref="C64:F64"/>
    <mergeCell ref="C65:F65"/>
    <mergeCell ref="C66:F66"/>
    <mergeCell ref="C67:F67"/>
    <mergeCell ref="C53:F53"/>
    <mergeCell ref="C54:F54"/>
    <mergeCell ref="C56:F56"/>
    <mergeCell ref="C57:F57"/>
    <mergeCell ref="C58:F58"/>
    <mergeCell ref="C60:F60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28:F28"/>
    <mergeCell ref="C30:F30"/>
    <mergeCell ref="C33:F33"/>
    <mergeCell ref="C36:F36"/>
    <mergeCell ref="C37:F37"/>
    <mergeCell ref="C39:F39"/>
    <mergeCell ref="C19:F19"/>
    <mergeCell ref="C21:F21"/>
    <mergeCell ref="C22:F22"/>
    <mergeCell ref="C24:F24"/>
    <mergeCell ref="C25:F25"/>
    <mergeCell ref="C26:F26"/>
    <mergeCell ref="C11:F11"/>
    <mergeCell ref="J10:L10"/>
    <mergeCell ref="C12:F12"/>
    <mergeCell ref="C13:F13"/>
    <mergeCell ref="C15:F15"/>
    <mergeCell ref="C17:F17"/>
    <mergeCell ref="E8:E9"/>
    <mergeCell ref="G2:M3"/>
    <mergeCell ref="G4:M5"/>
    <mergeCell ref="G6:M7"/>
    <mergeCell ref="G8:M9"/>
    <mergeCell ref="C10:F10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M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Stanislav Volek</cp:lastModifiedBy>
  <dcterms:created xsi:type="dcterms:W3CDTF">2021-06-10T20:06:38Z</dcterms:created>
  <dcterms:modified xsi:type="dcterms:W3CDTF">2022-12-08T17:49:12Z</dcterms:modified>
  <cp:category/>
  <cp:version/>
  <cp:contentType/>
  <cp:contentStatus/>
</cp:coreProperties>
</file>