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2000" activeTab="0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<sst xmlns="http://schemas.openxmlformats.org/spreadsheetml/2006/main" count="1260" uniqueCount="439">
  <si>
    <t>Hadice flexibilní k baterii,DN 15 x M10,délka 0,5m</t>
  </si>
  <si>
    <t>Doba výstavby:</t>
  </si>
  <si>
    <t>Projektant</t>
  </si>
  <si>
    <t>67</t>
  </si>
  <si>
    <t>Základ 15%</t>
  </si>
  <si>
    <t>Malby</t>
  </si>
  <si>
    <t>974031121R00</t>
  </si>
  <si>
    <t>0,065+0,005   ;   PVC</t>
  </si>
  <si>
    <t>Příplatek za nošení vyb. hmot každých dalších 10 m</t>
  </si>
  <si>
    <t>Základ 21%</t>
  </si>
  <si>
    <t>20</t>
  </si>
  <si>
    <t>Dodávka</t>
  </si>
  <si>
    <t>721194105R00</t>
  </si>
  <si>
    <t>NUS celkem z obj.</t>
  </si>
  <si>
    <t>Kabel CYKY 750 V 3x2,5 mm2 uložený pod omítkou - včetně dodávky kabelu</t>
  </si>
  <si>
    <t>Městské zařízení sociálních služeb Karlovy Vary, p</t>
  </si>
  <si>
    <t>3_</t>
  </si>
  <si>
    <t>612403385R00</t>
  </si>
  <si>
    <t>Přesun a výpomoce</t>
  </si>
  <si>
    <t>Náklady (Kč) - celkem</t>
  </si>
  <si>
    <t>Vyrovnání podkladu maltou ze SMS tl. do 7 mm</t>
  </si>
  <si>
    <t>Izolace návleková MIRELON PRO tl. stěny 6 mm - vnitřní průměr 25 mm</t>
  </si>
  <si>
    <t>72_</t>
  </si>
  <si>
    <t>784401801R00</t>
  </si>
  <si>
    <t>210111114RT2</t>
  </si>
  <si>
    <t>Název stavby:</t>
  </si>
  <si>
    <t>Ostatní materiál</t>
  </si>
  <si>
    <t>48</t>
  </si>
  <si>
    <t>29</t>
  </si>
  <si>
    <t>(0,065+0,005)*19   ;   PVC</t>
  </si>
  <si>
    <t>Č</t>
  </si>
  <si>
    <t>Vsaz.odboč.do plast.potrubí polyf.D 25 mm, vodovod</t>
  </si>
  <si>
    <t>Přesun hmot pro obklady keramické, výšky do 12 m</t>
  </si>
  <si>
    <t>Hrubá výplň rýh ve stěnách do 10x10cm maltou z SMS</t>
  </si>
  <si>
    <t>Poznámka:</t>
  </si>
  <si>
    <t>Přesun hmot pro vnitřní vodovod, výšky do 12 m</t>
  </si>
  <si>
    <t>Lokalita:</t>
  </si>
  <si>
    <t>79</t>
  </si>
  <si>
    <t>71</t>
  </si>
  <si>
    <t>210120823R00</t>
  </si>
  <si>
    <t>16</t>
  </si>
  <si>
    <t>PSV</t>
  </si>
  <si>
    <t>24</t>
  </si>
  <si>
    <t>Bez pevné podl.</t>
  </si>
  <si>
    <t>Malba , bílá, bez penetrace, 2 x</t>
  </si>
  <si>
    <t>Celkem</t>
  </si>
  <si>
    <t>722172963R00</t>
  </si>
  <si>
    <t>998721202R00</t>
  </si>
  <si>
    <t>Zařízení staveniště</t>
  </si>
  <si>
    <t>776101115R00</t>
  </si>
  <si>
    <t>soub</t>
  </si>
  <si>
    <t>4</t>
  </si>
  <si>
    <t>97</t>
  </si>
  <si>
    <t>94</t>
  </si>
  <si>
    <t>60</t>
  </si>
  <si>
    <t>Základní rozpočtové náklady</t>
  </si>
  <si>
    <t>Vyvedení a upevnění vodovodní výpustky DN 15</t>
  </si>
  <si>
    <t>26</t>
  </si>
  <si>
    <t>6_</t>
  </si>
  <si>
    <t>;ZT  I  ;   2</t>
  </si>
  <si>
    <t>KARLOVY VARY-STARÁ ROLE, ŠKOLNÍ 7</t>
  </si>
  <si>
    <t>722172312R00</t>
  </si>
  <si>
    <t>721176102R00</t>
  </si>
  <si>
    <t>Celkem bez DPH</t>
  </si>
  <si>
    <t>722191112R00</t>
  </si>
  <si>
    <t>Ing Jan Hruška, Josefa Lady 199, K.Vary-Olšová Vra</t>
  </si>
  <si>
    <t>Propojení plastového potrubí polyf.D 25 mm,vodovod</t>
  </si>
  <si>
    <t>M21</t>
  </si>
  <si>
    <t>721_</t>
  </si>
  <si>
    <t>Penetrace podkladu hloubková  1x</t>
  </si>
  <si>
    <t>210192552R00</t>
  </si>
  <si>
    <t>722290234R00</t>
  </si>
  <si>
    <t>597813535</t>
  </si>
  <si>
    <t>Vybourání otvorů zeď cihel. d=6 cm, tl. 30 cm, MVC - pro ZTI</t>
  </si>
  <si>
    <t>6</t>
  </si>
  <si>
    <t>Rozpočtové náklady v Kč</t>
  </si>
  <si>
    <t>68</t>
  </si>
  <si>
    <t>81</t>
  </si>
  <si>
    <t>Záslepka v rozvaděči</t>
  </si>
  <si>
    <t>210800105RT1</t>
  </si>
  <si>
    <t>974031135R00</t>
  </si>
  <si>
    <t>B</t>
  </si>
  <si>
    <t>Náklady na umístění stavby (NUS)</t>
  </si>
  <si>
    <t>42</t>
  </si>
  <si>
    <t>82</t>
  </si>
  <si>
    <t>Montáž</t>
  </si>
  <si>
    <t>Datum, razítko a podpis</t>
  </si>
  <si>
    <t>12.12.2021</t>
  </si>
  <si>
    <t>Vysekání rýh ve zdi cihelné 3 x 3 cm - pro EL</t>
  </si>
  <si>
    <t>Montáž a připojení svorkovnice - včetně dodávky svorkovnice S - 66</t>
  </si>
  <si>
    <t>776_</t>
  </si>
  <si>
    <t>ZRN celkem</t>
  </si>
  <si>
    <t>Volek S</t>
  </si>
  <si>
    <t>Vrtání jádrové do prostého betonu d 35-39 mm</t>
  </si>
  <si>
    <t>430 92VD</t>
  </si>
  <si>
    <t>998776202R00</t>
  </si>
  <si>
    <t>Hrubá výplň rýh ve stěnách do 10x5 cm maltou z SMS</t>
  </si>
  <si>
    <t>3   ;  VO</t>
  </si>
  <si>
    <t>801</t>
  </si>
  <si>
    <t>69</t>
  </si>
  <si>
    <t>Vyrovnání podkladů samonivelační hmotou</t>
  </si>
  <si>
    <t>33</t>
  </si>
  <si>
    <t>DPH 15%</t>
  </si>
  <si>
    <t>78</t>
  </si>
  <si>
    <t>1,8 *1,02  ;   za umyvadlem</t>
  </si>
  <si>
    <t>Krycí list slepého rozpočtu</t>
  </si>
  <si>
    <t>63</t>
  </si>
  <si>
    <t>776521100RU2</t>
  </si>
  <si>
    <t>Stěny a příčky</t>
  </si>
  <si>
    <t>77_</t>
  </si>
  <si>
    <t>Kohout kulový nerozebíratelný PP-R INSTAPLAST D 25</t>
  </si>
  <si>
    <t>25</t>
  </si>
  <si>
    <t>kus</t>
  </si>
  <si>
    <t>Chránič proudový dvoupólový do 40 A</t>
  </si>
  <si>
    <t>Dodávky</t>
  </si>
  <si>
    <t>soustava</t>
  </si>
  <si>
    <t>Ostatní mat.</t>
  </si>
  <si>
    <t>784191201R00</t>
  </si>
  <si>
    <t>941955001R00</t>
  </si>
  <si>
    <t>Ventil rohový bez přípoj. trubičky TE 66 G 1/2</t>
  </si>
  <si>
    <t>Cenová</t>
  </si>
  <si>
    <t>722171913R00</t>
  </si>
  <si>
    <t>210010527RT2</t>
  </si>
  <si>
    <t>Revize</t>
  </si>
  <si>
    <t>HSV prac</t>
  </si>
  <si>
    <t>Elektroinstalace</t>
  </si>
  <si>
    <t>Omítka rýh stěn vápenná šířky do 15 cm, štuková</t>
  </si>
  <si>
    <t>13</t>
  </si>
  <si>
    <t>1,3714 *7           ;   suť</t>
  </si>
  <si>
    <t>"M"</t>
  </si>
  <si>
    <t>97_</t>
  </si>
  <si>
    <t>970041080R00</t>
  </si>
  <si>
    <t xml:space="preserve">
</t>
  </si>
  <si>
    <t>Lepení povlak.podlah z pásů PVC na  - včetně podlahoviny , tl. 2,0 mm</t>
  </si>
  <si>
    <t>Cena/MJ</t>
  </si>
  <si>
    <t>Konec výstavby:</t>
  </si>
  <si>
    <t>Kód</t>
  </si>
  <si>
    <t>S</t>
  </si>
  <si>
    <t>43</t>
  </si>
  <si>
    <t>Obkládačka 15x15  lesk</t>
  </si>
  <si>
    <t>Zásuvka domovní zapuštěná - provedení 2x (2P+PE) - včetně dodávky zásuvky a rámečku</t>
  </si>
  <si>
    <t>14,0</t>
  </si>
  <si>
    <t>Ostatní přesuny hmot</t>
  </si>
  <si>
    <t>Lešení lehké pomocné, výška podlahy do 1,2 m</t>
  </si>
  <si>
    <t>soubor</t>
  </si>
  <si>
    <t>MJ</t>
  </si>
  <si>
    <t>998781202R00</t>
  </si>
  <si>
    <t>45</t>
  </si>
  <si>
    <t>40</t>
  </si>
  <si>
    <t>Lepení podlahových soklíků z PVC a vinylu - včetně dodávky soklíku PVC</t>
  </si>
  <si>
    <t>Montáž obkladů stěn, porovin., do tmele, 15x15 cm</t>
  </si>
  <si>
    <t>9_</t>
  </si>
  <si>
    <t>Doplňkové náklady</t>
  </si>
  <si>
    <t>978059521R00</t>
  </si>
  <si>
    <t>PSV prac</t>
  </si>
  <si>
    <t>HSV</t>
  </si>
  <si>
    <t>Příp. jádr. vrt. stropu v prostém bet. d 35-39 mm</t>
  </si>
  <si>
    <t>RTS I / 2022</t>
  </si>
  <si>
    <t>9</t>
  </si>
  <si>
    <t>15</t>
  </si>
  <si>
    <t>95</t>
  </si>
  <si>
    <t>998725202R00</t>
  </si>
  <si>
    <t>ISWORK</t>
  </si>
  <si>
    <t>Celkem včetně DPH</t>
  </si>
  <si>
    <t>1   ;  KA</t>
  </si>
  <si>
    <t>999281108R00</t>
  </si>
  <si>
    <t>776421100RU1</t>
  </si>
  <si>
    <t>210120803R00</t>
  </si>
  <si>
    <t>Základ 0%</t>
  </si>
  <si>
    <t>612423531R00</t>
  </si>
  <si>
    <t>1,3714            ;   suť</t>
  </si>
  <si>
    <t>S_</t>
  </si>
  <si>
    <t>721176103R00</t>
  </si>
  <si>
    <t>1,0*0,15   ;  VO</t>
  </si>
  <si>
    <t>52</t>
  </si>
  <si>
    <t>998722202R00</t>
  </si>
  <si>
    <t>Příp. jádr. vrt. stropu v prostém bet. do D 80 mm</t>
  </si>
  <si>
    <t>Izolace návleková MIRELON PRO tl. stěny 6 mm - vnitřní průměr 32 mm</t>
  </si>
  <si>
    <t>51</t>
  </si>
  <si>
    <t>Přesuny sutí</t>
  </si>
  <si>
    <t>721170905R00</t>
  </si>
  <si>
    <t>Mont prac</t>
  </si>
  <si>
    <t>Obklady (keramické)</t>
  </si>
  <si>
    <t>44</t>
  </si>
  <si>
    <t>78_</t>
  </si>
  <si>
    <t>30,0   ;  pro VO, KA, EL</t>
  </si>
  <si>
    <t>h</t>
  </si>
  <si>
    <t>23</t>
  </si>
  <si>
    <t>725_</t>
  </si>
  <si>
    <t>781_</t>
  </si>
  <si>
    <t>4,0*(0,5+0,2)   ;  zakrytí rozvodů</t>
  </si>
  <si>
    <t>59</t>
  </si>
  <si>
    <t>t</t>
  </si>
  <si>
    <t>Zednické výpomoce</t>
  </si>
  <si>
    <t> </t>
  </si>
  <si>
    <t>53</t>
  </si>
  <si>
    <t>Zkouška tlaku potrubí závitového DN 50</t>
  </si>
  <si>
    <t>JKSO:</t>
  </si>
  <si>
    <t>974031154R00</t>
  </si>
  <si>
    <t>722202413R00</t>
  </si>
  <si>
    <t>64</t>
  </si>
  <si>
    <t>Demontáž stávajících rozvodů elektroinstalace</t>
  </si>
  <si>
    <t>210111014RT6</t>
  </si>
  <si>
    <t>722181211RT8</t>
  </si>
  <si>
    <t>Náklady (Kč) - dodávka</t>
  </si>
  <si>
    <t>77</t>
  </si>
  <si>
    <t>DN celkem</t>
  </si>
  <si>
    <t>H99_</t>
  </si>
  <si>
    <t>GROUPCODE</t>
  </si>
  <si>
    <t>0</t>
  </si>
  <si>
    <t>Provozní vlivy</t>
  </si>
  <si>
    <t>Potrubí plastové PP-R Instaplast, včetně zednických výpomocí, D 25 x 3,5 mm, PN 16</t>
  </si>
  <si>
    <t>5</t>
  </si>
  <si>
    <t>Potrubí plastové PP-R Instaplast, včetně zednických výpomocí, D 20 x 2,8 mm, PN 16</t>
  </si>
  <si>
    <t>Chránič proudový čtyřpólový do 40 A</t>
  </si>
  <si>
    <t>722190401T00</t>
  </si>
  <si>
    <t>1,8   ;   za umyvadlem</t>
  </si>
  <si>
    <t>Druh stavby:</t>
  </si>
  <si>
    <t>Propojovací lišta jednofázová v rozvaděči</t>
  </si>
  <si>
    <t>;El  ;  5</t>
  </si>
  <si>
    <t>Krabice univerzální KU, bez zapojení, kruhová - včetně dodávky KU 68-1902 s víčkem</t>
  </si>
  <si>
    <t>784</t>
  </si>
  <si>
    <t>(0,065+0,005)*7   ;   PVC</t>
  </si>
  <si>
    <t>Zpracováno dne:</t>
  </si>
  <si>
    <t>NAPOJENÍ KUCHYŇSKÉ LINKY V 3. NP NA INSTALAČNÍ ROZVODY V 2. NP.</t>
  </si>
  <si>
    <t>RT-2145-22</t>
  </si>
  <si>
    <t>Vysekání rýh ve zdi cihelné 10 x 10 cm - pro El a ZTI</t>
  </si>
  <si>
    <t>10</t>
  </si>
  <si>
    <t>1,3714           ;   suť</t>
  </si>
  <si>
    <t>58</t>
  </si>
  <si>
    <t>36</t>
  </si>
  <si>
    <t>Oprava potrubí PVC odpadní, vsazení odbočky D 50</t>
  </si>
  <si>
    <t>Vyvedení odpadních výpustek D 50 x 1,8</t>
  </si>
  <si>
    <t>14</t>
  </si>
  <si>
    <t>31</t>
  </si>
  <si>
    <t>Zařizovací předměty</t>
  </si>
  <si>
    <t>1,0   ;   KA</t>
  </si>
  <si>
    <t>1,8   ;  za umyvadlem</t>
  </si>
  <si>
    <t>Množství</t>
  </si>
  <si>
    <t>38</t>
  </si>
  <si>
    <t>95_</t>
  </si>
  <si>
    <t>Přesun hmot pro podlahy povlakové, výšky do 12 m</t>
  </si>
  <si>
    <t>Trubka ohebná z PVC volně, vnější průměr 20 mm - včetně dodávky Spiroflex SF 16</t>
  </si>
  <si>
    <t>64,4+115,5</t>
  </si>
  <si>
    <t>722290226R00</t>
  </si>
  <si>
    <t>Vnitřní vodovod</t>
  </si>
  <si>
    <t>Typ skupiny</t>
  </si>
  <si>
    <t>73</t>
  </si>
  <si>
    <t>979087392R00</t>
  </si>
  <si>
    <t>979086213R00</t>
  </si>
  <si>
    <t>61_</t>
  </si>
  <si>
    <t>56</t>
  </si>
  <si>
    <t>722_</t>
  </si>
  <si>
    <t>19</t>
  </si>
  <si>
    <t>1   ;   KA</t>
  </si>
  <si>
    <t>C</t>
  </si>
  <si>
    <t>210192722R00</t>
  </si>
  <si>
    <t>Náklady (Kč)</t>
  </si>
  <si>
    <t>Demontáž soklíků nebo lišt, pryžových nebo z PVC</t>
  </si>
  <si>
    <t>721</t>
  </si>
  <si>
    <t>970041035R00</t>
  </si>
  <si>
    <t>39</t>
  </si>
  <si>
    <t>30</t>
  </si>
  <si>
    <t>IČO/DIČ:</t>
  </si>
  <si>
    <t>776511810R00</t>
  </si>
  <si>
    <t>776401800R00</t>
  </si>
  <si>
    <t>Ostatní</t>
  </si>
  <si>
    <t>210110001RT2</t>
  </si>
  <si>
    <t>0,1238+0,3922+0,0383</t>
  </si>
  <si>
    <t>55</t>
  </si>
  <si>
    <t>Podlahy povlakové</t>
  </si>
  <si>
    <t>Zpracoval:</t>
  </si>
  <si>
    <t>76</t>
  </si>
  <si>
    <t>210010091RT4</t>
  </si>
  <si>
    <t>Zásuvka průmyslová IP 67  3P+PE  32 A - včetně dodávky zásuvky</t>
  </si>
  <si>
    <t>953991121R00</t>
  </si>
  <si>
    <t>722172913R00</t>
  </si>
  <si>
    <t>Zhotovitel</t>
  </si>
  <si>
    <t>979087313R00</t>
  </si>
  <si>
    <t>20,0   ;  el</t>
  </si>
  <si>
    <t>Vysekání rýh ve zdi cihelné 5 x 20 cm   -  pro ZTI</t>
  </si>
  <si>
    <t>2</t>
  </si>
  <si>
    <t>Projektant:</t>
  </si>
  <si>
    <t>ORN celkem</t>
  </si>
  <si>
    <t/>
  </si>
  <si>
    <t>17</t>
  </si>
  <si>
    <t>210800106RT1</t>
  </si>
  <si>
    <t>Lešení a stavební výtahy</t>
  </si>
  <si>
    <t>21</t>
  </si>
  <si>
    <t>34_</t>
  </si>
  <si>
    <t>Úprava povrchů vnitřní</t>
  </si>
  <si>
    <t>Práce přesčas</t>
  </si>
  <si>
    <t>230 10VD</t>
  </si>
  <si>
    <t>61</t>
  </si>
  <si>
    <t>342262411R00</t>
  </si>
  <si>
    <t>12</t>
  </si>
  <si>
    <t>Příčka SDK instalační 2x OK, 2x opl. tl. 220 mm</t>
  </si>
  <si>
    <t>781415013R00</t>
  </si>
  <si>
    <t>Kabel CYKY 750 V 3x1,5 mm2 uložený pod omítkou - včetně dodávky kabelu</t>
  </si>
  <si>
    <t>Kulturní památka</t>
  </si>
  <si>
    <t>Objekt</t>
  </si>
  <si>
    <t>Různé dokončovací konstrukce a práce na pozemních stavbách</t>
  </si>
  <si>
    <t>DPH 21%</t>
  </si>
  <si>
    <t>Štítek označovací pro přístroje - popis</t>
  </si>
  <si>
    <t>Nakládání vybouraných hmot na dopravní prostředek</t>
  </si>
  <si>
    <t>Vysávání podlah prům.vysavačem pod povlak.podlahy</t>
  </si>
  <si>
    <t>_</t>
  </si>
  <si>
    <t>Odstranění malby obroušením v místnosti H do 3,8 m</t>
  </si>
  <si>
    <t>Přesun hmot pro vnitřní kanalizaci, výšky do 12 m</t>
  </si>
  <si>
    <t>ORN celkem z obj.</t>
  </si>
  <si>
    <t>Odříznutí plastové trubky D 25 mm</t>
  </si>
  <si>
    <t>971033141R00</t>
  </si>
  <si>
    <t>49</t>
  </si>
  <si>
    <t>1,0   ;  VO</t>
  </si>
  <si>
    <t>72</t>
  </si>
  <si>
    <t>Přesuny</t>
  </si>
  <si>
    <t>MAT</t>
  </si>
  <si>
    <t>70</t>
  </si>
  <si>
    <t>776</t>
  </si>
  <si>
    <t>8</t>
  </si>
  <si>
    <t>Celkem:</t>
  </si>
  <si>
    <t>Mimostav. doprava</t>
  </si>
  <si>
    <t>18</t>
  </si>
  <si>
    <t>DN celkem z obj.</t>
  </si>
  <si>
    <t>210800116RT1</t>
  </si>
  <si>
    <t>46</t>
  </si>
  <si>
    <t>781</t>
  </si>
  <si>
    <t>3   ;  pro napojení VO, KA</t>
  </si>
  <si>
    <t>Potrubí HT připojovací D 50 x 1,8 mm</t>
  </si>
  <si>
    <t>776101101R00</t>
  </si>
  <si>
    <t>Proplach a dezinfekce vodovod.potrubí DN 80</t>
  </si>
  <si>
    <t>722172311R00</t>
  </si>
  <si>
    <t>Příplatek k přesunu suti za každých dalších 1000 m</t>
  </si>
  <si>
    <t>50</t>
  </si>
  <si>
    <t>Zkouška těsnosti kanalizace vodou DN 125</t>
  </si>
  <si>
    <t>m</t>
  </si>
  <si>
    <t>Slepý stavební rozpočet - rekapitulace</t>
  </si>
  <si>
    <t>Vysekání rýh ve zdi cihelné 10 x 15 cm</t>
  </si>
  <si>
    <t>Odsekání vnitřních obkladů stěn do 2 m2</t>
  </si>
  <si>
    <t>11</t>
  </si>
  <si>
    <t>RTS II / 2022</t>
  </si>
  <si>
    <t>32</t>
  </si>
  <si>
    <t>979082119R00</t>
  </si>
  <si>
    <t>721290111R00</t>
  </si>
  <si>
    <t>973031324R00</t>
  </si>
  <si>
    <t>Objednatel:</t>
  </si>
  <si>
    <t>970046039R00</t>
  </si>
  <si>
    <t>PSV mat</t>
  </si>
  <si>
    <t>210111131R00</t>
  </si>
  <si>
    <t>Osazení hmoždinek ve stěnách z cihel DN 10 - 12 mm - V položce je kalkulováno vyvrtání otvorů a dodávka hmoždinek</t>
  </si>
  <si>
    <t>Spínač nástěnný jednopól.- řaz. 1, obyč.prostředí , včetně dodávky spínače</t>
  </si>
  <si>
    <t>3</t>
  </si>
  <si>
    <t>Zhotovitel:</t>
  </si>
  <si>
    <t>Svislá doprava suti a vybour. hmot za 2.NP nošením</t>
  </si>
  <si>
    <t>%</t>
  </si>
  <si>
    <t>784_</t>
  </si>
  <si>
    <t>35</t>
  </si>
  <si>
    <t>Začátek výstavby:</t>
  </si>
  <si>
    <t>Třífázový propojovací lišta v rozvaděči</t>
  </si>
  <si>
    <t>A</t>
  </si>
  <si>
    <t>Nakládání vybouraných trub na dopravní prostředek</t>
  </si>
  <si>
    <t>210010025RT2</t>
  </si>
  <si>
    <t>Mont mat</t>
  </si>
  <si>
    <t>722</t>
  </si>
  <si>
    <t>Slepý stavební rozpočet</t>
  </si>
  <si>
    <t>Vysekání kapes zeď cihel. MVC, pl. 0,1m2, hl. 15cm  -  pro El</t>
  </si>
  <si>
    <t>75</t>
  </si>
  <si>
    <t>54</t>
  </si>
  <si>
    <t xml:space="preserve"> </t>
  </si>
  <si>
    <t>210192551R00</t>
  </si>
  <si>
    <t>722181211RU1</t>
  </si>
  <si>
    <t>Přesun hmot pro zařizovací předměty, výšky do 12 m</t>
  </si>
  <si>
    <t>Potrubí HT připojovací, D 40 x 1,8 mm</t>
  </si>
  <si>
    <t>Objednatel</t>
  </si>
  <si>
    <t>57</t>
  </si>
  <si>
    <t>(Kč)</t>
  </si>
  <si>
    <t>781101111R00</t>
  </si>
  <si>
    <t>22</t>
  </si>
  <si>
    <t>970046080R00</t>
  </si>
  <si>
    <t>Odstranění PVC a koberců lepených bez podložky</t>
  </si>
  <si>
    <t>Územní vlivy</t>
  </si>
  <si>
    <t>725</t>
  </si>
  <si>
    <t>974031153R00</t>
  </si>
  <si>
    <t>T</t>
  </si>
  <si>
    <t>Datum:</t>
  </si>
  <si>
    <t>27</t>
  </si>
  <si>
    <t>37</t>
  </si>
  <si>
    <t>80</t>
  </si>
  <si>
    <t>m2</t>
  </si>
  <si>
    <t>41</t>
  </si>
  <si>
    <t>Lišta hranatá bezhalogenová do šířky 40 mm - včetně dodávky lišty LHD</t>
  </si>
  <si>
    <t>Přesun hmot a sutí</t>
  </si>
  <si>
    <t>NUS z rozpočtu</t>
  </si>
  <si>
    <t>20,0*0,15   ;  el</t>
  </si>
  <si>
    <t>64,4+115,5+4,0</t>
  </si>
  <si>
    <t>1</t>
  </si>
  <si>
    <t>7</t>
  </si>
  <si>
    <t>Vodorovná doprava suti po suchu do 1000 m</t>
  </si>
  <si>
    <t>Rozměry</t>
  </si>
  <si>
    <t>979082113R00</t>
  </si>
  <si>
    <t>74</t>
  </si>
  <si>
    <t>Položek:</t>
  </si>
  <si>
    <t>NUS celkem</t>
  </si>
  <si>
    <t>WORK</t>
  </si>
  <si>
    <t>Vysekání kapes zeď cihel. MVC, pl. 0,1m2, hl. 15cm</t>
  </si>
  <si>
    <t>83</t>
  </si>
  <si>
    <t>210192721R00</t>
  </si>
  <si>
    <t>Kabel CYKY 750 V 5x2,5 mm2 uložený pod omítkou - včetně dodávky kabelu</t>
  </si>
  <si>
    <t>Úprava a doplnění stávajících elektrorozvodů (bez spotřebičů)</t>
  </si>
  <si>
    <t>Vrtání jádrové do prostého betonu do D 80 mm</t>
  </si>
  <si>
    <t>47</t>
  </si>
  <si>
    <t>210010311RT1</t>
  </si>
  <si>
    <t>210 12VD</t>
  </si>
  <si>
    <t>HSV mat</t>
  </si>
  <si>
    <t>M21_</t>
  </si>
  <si>
    <t>66</t>
  </si>
  <si>
    <t>612403386R00</t>
  </si>
  <si>
    <t>H99</t>
  </si>
  <si>
    <t>Přesun hmot pro opravy a údržbu do výšky 12 m</t>
  </si>
  <si>
    <t>979011211R00</t>
  </si>
  <si>
    <t>725810402R00</t>
  </si>
  <si>
    <t>Bourací práce</t>
  </si>
  <si>
    <t>Zásuvka průmyslová IP 44  2P+PE  16 A</t>
  </si>
  <si>
    <t>Zkrácený popis</t>
  </si>
  <si>
    <t>28</t>
  </si>
  <si>
    <t>220890202R00</t>
  </si>
  <si>
    <t>1,0*0,15   ;   KA</t>
  </si>
  <si>
    <t>CELK</t>
  </si>
  <si>
    <t>14,0+7,0</t>
  </si>
  <si>
    <t>94_</t>
  </si>
  <si>
    <t>1,3714 *19           ;   suť</t>
  </si>
  <si>
    <t>784195212R00</t>
  </si>
  <si>
    <t>210 02VD</t>
  </si>
  <si>
    <t>65</t>
  </si>
  <si>
    <t>34</t>
  </si>
  <si>
    <t>62</t>
  </si>
  <si>
    <t>30,0*1,0</t>
  </si>
  <si>
    <t>Náklady (Kč) - Montáž</t>
  </si>
  <si>
    <t>Vnitřní kanalizace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</si>
</sst>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_);\-#,##0.00\ &quot;Kč&quot;"/>
    <numFmt numFmtId="165" formatCode="#,##0\ &quot;Kč&quot;_);\-#,##0\ &quot;Kč&quot;"/>
    <numFmt numFmtId="166" formatCode="#,##0\ &quot;Kč&quot;_);[Red]\-#,##0\ &quot;Kč&quot;"/>
    <numFmt numFmtId="167" formatCode="#,##0.00\ &quot;Kč&quot;_);[Red]\-#,##0.00\ &quot;Kč&quot;"/>
    <numFmt numFmtId="168" formatCode="_(* #,##0\ _);_(\-* #,##0\ ;_(* &quot;-&quot;\ _);_(@_)"/>
    <numFmt numFmtId="169" formatCode="_(* #,##0\ &quot;Kč&quot;_);_(\-* #,##0\ &quot;Kč&quot;;_(* &quot;-&quot;\ &quot;Kč&quot;_);_(@_)"/>
    <numFmt numFmtId="170" formatCode="_(* #,##0.00\ &quot;Kč&quot;_);_(\-* #,##0.00\ &quot;Kč&quot;;_(* &quot;-&quot;??\ &quot;Kč&quot;_);_(@_)"/>
    <numFmt numFmtId="171" formatCode="_(* #,##0.00\ _);_(\-* #,##0.00\ ;_(* &quot;-&quot;??\ _);_(@_)"/>
  </numFmts>
  <fonts count="56">
    <font>
      <sz val="8"/>
      <name val="Arial"/>
      <family val="0"/>
    </font>
    <font>
      <sz val="11"/>
      <name val="Calibri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20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0"/>
    </font>
    <font>
      <i/>
      <sz val="8"/>
      <color rgb="FF000000"/>
      <name val="Arial"/>
      <family val="0"/>
    </font>
    <font>
      <b/>
      <sz val="10"/>
      <color rgb="FF000000"/>
      <name val="Arial"/>
      <family val="0"/>
    </font>
    <font>
      <sz val="12"/>
      <color rgb="FF000000"/>
      <name val="Arial"/>
      <family val="0"/>
    </font>
    <font>
      <i/>
      <sz val="10"/>
      <color rgb="FF000000"/>
      <name val="Arial"/>
      <family val="0"/>
    </font>
    <font>
      <b/>
      <sz val="20"/>
      <color rgb="FF000000"/>
      <name val="Arial"/>
      <family val="0"/>
    </font>
    <font>
      <sz val="18"/>
      <color rgb="FF000000"/>
      <name val="Arial"/>
      <family val="0"/>
    </font>
    <font>
      <b/>
      <sz val="18"/>
      <color rgb="FF000000"/>
      <name val="Arial"/>
      <family val="0"/>
    </font>
    <font>
      <b/>
      <sz val="11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/>
      <right/>
      <top/>
      <bottom style="thin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/>
      <bottom style="medium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3">
    <xf numFmtId="0" fontId="1" fillId="0" borderId="0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4" fontId="47" fillId="33" borderId="10" xfId="0" applyNumberFormat="1" applyFont="1" applyFill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4" fontId="49" fillId="33" borderId="0" xfId="0" applyNumberFormat="1" applyFont="1" applyFill="1" applyBorder="1" applyAlignment="1" applyProtection="1">
      <alignment horizontal="right" vertical="center"/>
      <protection/>
    </xf>
    <xf numFmtId="0" fontId="50" fillId="0" borderId="11" xfId="0" applyNumberFormat="1" applyFont="1" applyFill="1" applyBorder="1" applyAlignment="1" applyProtection="1">
      <alignment horizontal="right" vertical="center"/>
      <protection/>
    </xf>
    <xf numFmtId="0" fontId="51" fillId="0" borderId="12" xfId="0" applyNumberFormat="1" applyFont="1" applyFill="1" applyBorder="1" applyAlignment="1" applyProtection="1">
      <alignment horizontal="left" vertical="center"/>
      <protection/>
    </xf>
    <xf numFmtId="0" fontId="49" fillId="0" borderId="13" xfId="0" applyNumberFormat="1" applyFont="1" applyFill="1" applyBorder="1" applyAlignment="1" applyProtection="1">
      <alignment horizontal="left" vertical="center"/>
      <protection/>
    </xf>
    <xf numFmtId="4" fontId="51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0" fontId="52" fillId="33" borderId="15" xfId="0" applyNumberFormat="1" applyFont="1" applyFill="1" applyBorder="1" applyAlignment="1" applyProtection="1">
      <alignment horizontal="center" vertical="center"/>
      <protection/>
    </xf>
    <xf numFmtId="0" fontId="49" fillId="0" borderId="13" xfId="0" applyNumberFormat="1" applyFont="1" applyFill="1" applyBorder="1" applyAlignment="1" applyProtection="1">
      <alignment horizontal="center" vertical="center"/>
      <protection/>
    </xf>
    <xf numFmtId="0" fontId="49" fillId="0" borderId="16" xfId="0" applyNumberFormat="1" applyFont="1" applyFill="1" applyBorder="1" applyAlignment="1" applyProtection="1">
      <alignment horizontal="center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4" fontId="49" fillId="33" borderId="0" xfId="0" applyNumberFormat="1" applyFont="1" applyFill="1" applyBorder="1" applyAlignment="1" applyProtection="1">
      <alignment horizontal="right" vertical="center"/>
      <protection/>
    </xf>
    <xf numFmtId="0" fontId="49" fillId="0" borderId="17" xfId="0" applyNumberFormat="1" applyFont="1" applyFill="1" applyBorder="1" applyAlignment="1" applyProtection="1">
      <alignment horizontal="center" vertical="center"/>
      <protection/>
    </xf>
    <xf numFmtId="4" fontId="50" fillId="0" borderId="10" xfId="0" applyNumberFormat="1" applyFont="1" applyFill="1" applyBorder="1" applyAlignment="1" applyProtection="1">
      <alignment horizontal="right" vertical="center"/>
      <protection/>
    </xf>
    <xf numFmtId="0" fontId="46" fillId="33" borderId="14" xfId="0" applyNumberFormat="1" applyFont="1" applyFill="1" applyBorder="1" applyAlignment="1" applyProtection="1">
      <alignment horizontal="left" vertical="center"/>
      <protection/>
    </xf>
    <xf numFmtId="0" fontId="49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49" fillId="0" borderId="20" xfId="0" applyNumberFormat="1" applyFont="1" applyFill="1" applyBorder="1" applyAlignment="1" applyProtection="1">
      <alignment horizontal="left" vertical="center"/>
      <protection/>
    </xf>
    <xf numFmtId="0" fontId="49" fillId="33" borderId="0" xfId="0" applyNumberFormat="1" applyFont="1" applyFill="1" applyBorder="1" applyAlignment="1" applyProtection="1">
      <alignment horizontal="right" vertical="center"/>
      <protection/>
    </xf>
    <xf numFmtId="0" fontId="50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50" fillId="0" borderId="19" xfId="0" applyNumberFormat="1" applyFont="1" applyFill="1" applyBorder="1" applyAlignment="1" applyProtection="1">
      <alignment horizontal="left" vertical="center"/>
      <protection/>
    </xf>
    <xf numFmtId="0" fontId="47" fillId="0" borderId="22" xfId="0" applyNumberFormat="1" applyFont="1" applyFill="1" applyBorder="1" applyAlignment="1" applyProtection="1">
      <alignment horizontal="left" vertical="center"/>
      <protection/>
    </xf>
    <xf numFmtId="0" fontId="46" fillId="0" borderId="11" xfId="0" applyNumberFormat="1" applyFont="1" applyFill="1" applyBorder="1" applyAlignment="1" applyProtection="1">
      <alignment horizontal="right" vertical="center"/>
      <protection/>
    </xf>
    <xf numFmtId="0" fontId="49" fillId="0" borderId="23" xfId="0" applyNumberFormat="1" applyFont="1" applyFill="1" applyBorder="1" applyAlignment="1" applyProtection="1">
      <alignment horizontal="left" vertical="center"/>
      <protection/>
    </xf>
    <xf numFmtId="0" fontId="49" fillId="0" borderId="24" xfId="0" applyNumberFormat="1" applyFont="1" applyFill="1" applyBorder="1" applyAlignment="1" applyProtection="1">
      <alignment horizontal="center" vertical="center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46" fillId="33" borderId="14" xfId="0" applyNumberFormat="1" applyFont="1" applyFill="1" applyBorder="1" applyAlignment="1" applyProtection="1">
      <alignment horizontal="left" vertical="center"/>
      <protection/>
    </xf>
    <xf numFmtId="0" fontId="49" fillId="33" borderId="11" xfId="0" applyNumberFormat="1" applyFont="1" applyFill="1" applyBorder="1" applyAlignment="1" applyProtection="1">
      <alignment horizontal="right" vertical="center"/>
      <protection/>
    </xf>
    <xf numFmtId="0" fontId="49" fillId="33" borderId="0" xfId="0" applyNumberFormat="1" applyFont="1" applyFill="1" applyBorder="1" applyAlignment="1" applyProtection="1">
      <alignment horizontal="lef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4" fontId="51" fillId="0" borderId="12" xfId="0" applyNumberFormat="1" applyFont="1" applyFill="1" applyBorder="1" applyAlignment="1" applyProtection="1">
      <alignment horizontal="right" vertical="center"/>
      <protection/>
    </xf>
    <xf numFmtId="0" fontId="49" fillId="0" borderId="25" xfId="0" applyNumberFormat="1" applyFont="1" applyFill="1" applyBorder="1" applyAlignment="1" applyProtection="1">
      <alignment horizontal="center" vertical="center"/>
      <protection/>
    </xf>
    <xf numFmtId="0" fontId="49" fillId="0" borderId="26" xfId="0" applyNumberFormat="1" applyFont="1" applyFill="1" applyBorder="1" applyAlignment="1" applyProtection="1">
      <alignment horizontal="left" vertical="center"/>
      <protection/>
    </xf>
    <xf numFmtId="0" fontId="49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4" fontId="50" fillId="0" borderId="24" xfId="0" applyNumberFormat="1" applyFont="1" applyFill="1" applyBorder="1" applyAlignment="1" applyProtection="1">
      <alignment horizontal="right" vertical="center"/>
      <protection/>
    </xf>
    <xf numFmtId="4" fontId="49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9" fillId="33" borderId="0" xfId="0" applyNumberFormat="1" applyFont="1" applyFill="1" applyBorder="1" applyAlignment="1" applyProtection="1">
      <alignment horizontal="left" vertical="center"/>
      <protection/>
    </xf>
    <xf numFmtId="4" fontId="50" fillId="0" borderId="19" xfId="0" applyNumberFormat="1" applyFont="1" applyFill="1" applyBorder="1" applyAlignment="1" applyProtection="1">
      <alignment horizontal="right" vertical="center"/>
      <protection/>
    </xf>
    <xf numFmtId="4" fontId="47" fillId="33" borderId="19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46" fillId="0" borderId="27" xfId="0" applyNumberFormat="1" applyFont="1" applyFill="1" applyBorder="1" applyAlignment="1" applyProtection="1">
      <alignment horizontal="left" vertical="center"/>
      <protection/>
    </xf>
    <xf numFmtId="0" fontId="49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47" fillId="0" borderId="29" xfId="0" applyNumberFormat="1" applyFont="1" applyFill="1" applyBorder="1" applyAlignment="1" applyProtection="1">
      <alignment horizontal="left" vertical="center"/>
      <protection/>
    </xf>
    <xf numFmtId="4" fontId="50" fillId="0" borderId="11" xfId="0" applyNumberFormat="1" applyFont="1" applyFill="1" applyBorder="1" applyAlignment="1" applyProtection="1">
      <alignment horizontal="right" vertical="center"/>
      <protection/>
    </xf>
    <xf numFmtId="0" fontId="49" fillId="0" borderId="30" xfId="0" applyNumberFormat="1" applyFont="1" applyFill="1" applyBorder="1" applyAlignment="1" applyProtection="1">
      <alignment horizontal="center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24" xfId="0" applyNumberFormat="1" applyFont="1" applyFill="1" applyBorder="1" applyAlignment="1" applyProtection="1">
      <alignment horizontal="left" vertical="center"/>
      <protection/>
    </xf>
    <xf numFmtId="0" fontId="49" fillId="33" borderId="11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52" fillId="33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31" xfId="0" applyNumberFormat="1" applyFont="1" applyFill="1" applyBorder="1" applyAlignment="1" applyProtection="1">
      <alignment horizontal="left" vertical="center" wrapText="1"/>
      <protection/>
    </xf>
    <xf numFmtId="0" fontId="46" fillId="0" borderId="32" xfId="0" applyNumberFormat="1" applyFont="1" applyFill="1" applyBorder="1" applyAlignment="1" applyProtection="1">
      <alignment horizontal="left" vertical="center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4" xfId="0" applyNumberFormat="1" applyFont="1" applyFill="1" applyBorder="1" applyAlignment="1" applyProtection="1">
      <alignment horizontal="left" vertical="center" wrapText="1"/>
      <protection/>
    </xf>
    <xf numFmtId="0" fontId="46" fillId="0" borderId="32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32" xfId="0" applyNumberFormat="1" applyFont="1" applyFill="1" applyBorder="1" applyAlignment="1" applyProtection="1">
      <alignment horizontal="left" vertical="center" wrapText="1"/>
      <protection/>
    </xf>
    <xf numFmtId="0" fontId="49" fillId="0" borderId="32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33" xfId="0" applyNumberFormat="1" applyFont="1" applyFill="1" applyBorder="1" applyAlignment="1" applyProtection="1">
      <alignment horizontal="left" vertical="center"/>
      <protection/>
    </xf>
    <xf numFmtId="0" fontId="46" fillId="0" borderId="11" xfId="0" applyNumberFormat="1" applyFont="1" applyFill="1" applyBorder="1" applyAlignment="1" applyProtection="1">
      <alignment horizontal="left" vertical="center"/>
      <protection/>
    </xf>
    <xf numFmtId="0" fontId="49" fillId="0" borderId="30" xfId="0" applyNumberFormat="1" applyFont="1" applyFill="1" applyBorder="1" applyAlignment="1" applyProtection="1">
      <alignment horizontal="left" vertical="center"/>
      <protection/>
    </xf>
    <xf numFmtId="0" fontId="49" fillId="0" borderId="13" xfId="0" applyNumberFormat="1" applyFont="1" applyFill="1" applyBorder="1" applyAlignment="1" applyProtection="1">
      <alignment horizontal="left" vertical="center"/>
      <protection/>
    </xf>
    <xf numFmtId="0" fontId="49" fillId="0" borderId="16" xfId="0" applyNumberFormat="1" applyFont="1" applyFill="1" applyBorder="1" applyAlignment="1" applyProtection="1">
      <alignment horizontal="left" vertical="center"/>
      <protection/>
    </xf>
    <xf numFmtId="0" fontId="49" fillId="0" borderId="24" xfId="0" applyNumberFormat="1" applyFont="1" applyFill="1" applyBorder="1" applyAlignment="1" applyProtection="1">
      <alignment horizontal="left" vertical="center"/>
      <protection/>
    </xf>
    <xf numFmtId="0" fontId="49" fillId="0" borderId="34" xfId="0" applyNumberFormat="1" applyFont="1" applyFill="1" applyBorder="1" applyAlignment="1" applyProtection="1">
      <alignment horizontal="center" vertical="center"/>
      <protection/>
    </xf>
    <xf numFmtId="0" fontId="49" fillId="0" borderId="35" xfId="0" applyNumberFormat="1" applyFont="1" applyFill="1" applyBorder="1" applyAlignment="1" applyProtection="1">
      <alignment horizontal="center" vertical="center"/>
      <protection/>
    </xf>
    <xf numFmtId="0" fontId="49" fillId="0" borderId="36" xfId="0" applyNumberFormat="1" applyFont="1" applyFill="1" applyBorder="1" applyAlignment="1" applyProtection="1">
      <alignment horizontal="center" vertical="center"/>
      <protection/>
    </xf>
    <xf numFmtId="0" fontId="49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33" xfId="0" applyNumberFormat="1" applyFont="1" applyFill="1" applyBorder="1" applyAlignment="1" applyProtection="1">
      <alignment horizontal="left" vertical="center" wrapText="1"/>
      <protection/>
    </xf>
    <xf numFmtId="0" fontId="46" fillId="0" borderId="11" xfId="0" applyNumberFormat="1" applyFont="1" applyFill="1" applyBorder="1" applyAlignment="1" applyProtection="1">
      <alignment horizontal="left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21" xfId="0" applyNumberFormat="1" applyFont="1" applyFill="1" applyBorder="1" applyAlignment="1" applyProtection="1">
      <alignment horizontal="left" vertical="center"/>
      <protection/>
    </xf>
    <xf numFmtId="1" fontId="46" fillId="0" borderId="11" xfId="0" applyNumberFormat="1" applyFont="1" applyFill="1" applyBorder="1" applyAlignment="1" applyProtection="1">
      <alignment horizontal="left" vertical="center"/>
      <protection/>
    </xf>
    <xf numFmtId="0" fontId="46" fillId="0" borderId="19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37" xfId="0" applyNumberFormat="1" applyFont="1" applyFill="1" applyBorder="1" applyAlignment="1" applyProtection="1">
      <alignment horizontal="left" vertical="center"/>
      <protection/>
    </xf>
    <xf numFmtId="0" fontId="55" fillId="0" borderId="10" xfId="0" applyNumberFormat="1" applyFont="1" applyFill="1" applyBorder="1" applyAlignment="1" applyProtection="1">
      <alignment horizontal="left" vertical="center"/>
      <protection/>
    </xf>
    <xf numFmtId="0" fontId="47" fillId="0" borderId="21" xfId="0" applyNumberFormat="1" applyFont="1" applyFill="1" applyBorder="1" applyAlignment="1" applyProtection="1">
      <alignment horizontal="left" vertical="center"/>
      <protection/>
    </xf>
    <xf numFmtId="0" fontId="47" fillId="0" borderId="19" xfId="0" applyNumberFormat="1" applyFont="1" applyFill="1" applyBorder="1" applyAlignment="1" applyProtection="1">
      <alignment horizontal="left" vertical="center"/>
      <protection/>
    </xf>
    <xf numFmtId="0" fontId="47" fillId="0" borderId="14" xfId="0" applyNumberFormat="1" applyFont="1" applyFill="1" applyBorder="1" applyAlignment="1" applyProtection="1">
      <alignment horizontal="left" vertical="center"/>
      <protection/>
    </xf>
    <xf numFmtId="0" fontId="47" fillId="0" borderId="11" xfId="0" applyNumberFormat="1" applyFont="1" applyFill="1" applyBorder="1" applyAlignment="1" applyProtection="1">
      <alignment horizontal="left" vertical="center"/>
      <protection/>
    </xf>
    <xf numFmtId="0" fontId="47" fillId="0" borderId="38" xfId="0" applyNumberFormat="1" applyFont="1" applyFill="1" applyBorder="1" applyAlignment="1" applyProtection="1">
      <alignment horizontal="left" vertical="center"/>
      <protection/>
    </xf>
    <xf numFmtId="0" fontId="47" fillId="0" borderId="10" xfId="0" applyNumberFormat="1" applyFont="1" applyFill="1" applyBorder="1" applyAlignment="1" applyProtection="1">
      <alignment horizontal="left" vertical="center"/>
      <protection/>
    </xf>
    <xf numFmtId="0" fontId="50" fillId="0" borderId="12" xfId="0" applyNumberFormat="1" applyFont="1" applyFill="1" applyBorder="1" applyAlignment="1" applyProtection="1">
      <alignment horizontal="left" vertical="center"/>
      <protection/>
    </xf>
    <xf numFmtId="0" fontId="50" fillId="0" borderId="19" xfId="0" applyNumberFormat="1" applyFont="1" applyFill="1" applyBorder="1" applyAlignment="1" applyProtection="1">
      <alignment horizontal="left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50" fillId="0" borderId="11" xfId="0" applyNumberFormat="1" applyFont="1" applyFill="1" applyBorder="1" applyAlignment="1" applyProtection="1">
      <alignment horizontal="left" vertical="center"/>
      <protection/>
    </xf>
    <xf numFmtId="0" fontId="47" fillId="0" borderId="37" xfId="0" applyNumberFormat="1" applyFont="1" applyFill="1" applyBorder="1" applyAlignment="1" applyProtection="1">
      <alignment horizontal="left" vertical="center"/>
      <protection/>
    </xf>
    <xf numFmtId="0" fontId="47" fillId="0" borderId="12" xfId="0" applyNumberFormat="1" applyFont="1" applyFill="1" applyBorder="1" applyAlignment="1" applyProtection="1">
      <alignment horizontal="left" vertical="center"/>
      <protection/>
    </xf>
    <xf numFmtId="0" fontId="47" fillId="33" borderId="38" xfId="0" applyNumberFormat="1" applyFont="1" applyFill="1" applyBorder="1" applyAlignment="1" applyProtection="1">
      <alignment horizontal="left" vertical="center"/>
      <protection/>
    </xf>
    <xf numFmtId="0" fontId="47" fillId="33" borderId="37" xfId="0" applyNumberFormat="1" applyFont="1" applyFill="1" applyBorder="1" applyAlignment="1" applyProtection="1">
      <alignment horizontal="left" vertical="center"/>
      <protection/>
    </xf>
    <xf numFmtId="0" fontId="47" fillId="33" borderId="21" xfId="0" applyNumberFormat="1" applyFont="1" applyFill="1" applyBorder="1" applyAlignment="1" applyProtection="1">
      <alignment horizontal="left" vertical="center"/>
      <protection/>
    </xf>
    <xf numFmtId="0" fontId="47" fillId="33" borderId="12" xfId="0" applyNumberFormat="1" applyFont="1" applyFill="1" applyBorder="1" applyAlignment="1" applyProtection="1">
      <alignment horizontal="left" vertical="center"/>
      <protection/>
    </xf>
    <xf numFmtId="0" fontId="50" fillId="0" borderId="39" xfId="0" applyNumberFormat="1" applyFont="1" applyFill="1" applyBorder="1" applyAlignment="1" applyProtection="1">
      <alignment horizontal="left" vertical="center"/>
      <protection/>
    </xf>
    <xf numFmtId="0" fontId="50" fillId="0" borderId="30" xfId="0" applyNumberFormat="1" applyFont="1" applyFill="1" applyBorder="1" applyAlignment="1" applyProtection="1">
      <alignment horizontal="left" vertical="center"/>
      <protection/>
    </xf>
    <xf numFmtId="0" fontId="50" fillId="0" borderId="17" xfId="0" applyNumberFormat="1" applyFont="1" applyFill="1" applyBorder="1" applyAlignment="1" applyProtection="1">
      <alignment horizontal="left" vertical="center"/>
      <protection/>
    </xf>
    <xf numFmtId="0" fontId="50" fillId="0" borderId="40" xfId="0" applyNumberFormat="1" applyFont="1" applyFill="1" applyBorder="1" applyAlignment="1" applyProtection="1">
      <alignment horizontal="left" vertical="center"/>
      <protection/>
    </xf>
    <xf numFmtId="0" fontId="50" fillId="0" borderId="41" xfId="0" applyNumberFormat="1" applyFont="1" applyFill="1" applyBorder="1" applyAlignment="1" applyProtection="1">
      <alignment horizontal="left" vertical="center"/>
      <protection/>
    </xf>
    <xf numFmtId="0" fontId="50" fillId="0" borderId="42" xfId="0" applyNumberFormat="1" applyFont="1" applyFill="1" applyBorder="1" applyAlignment="1" applyProtection="1">
      <alignment horizontal="left" vertical="center"/>
      <protection/>
    </xf>
    <xf numFmtId="0" fontId="50" fillId="0" borderId="16" xfId="0" applyNumberFormat="1" applyFont="1" applyFill="1" applyBorder="1" applyAlignment="1" applyProtection="1">
      <alignment horizontal="left" vertical="center"/>
      <protection/>
    </xf>
    <xf numFmtId="0" fontId="50" fillId="0" borderId="18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962025</xdr:colOff>
      <xdr:row>7</xdr:row>
      <xdr:rowOff>95250</xdr:rowOff>
    </xdr:from>
    <xdr:to>
      <xdr:col>6</xdr:col>
      <xdr:colOff>133350</xdr:colOff>
      <xdr:row>10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933575"/>
          <a:ext cx="981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zoomScalePageLayoutView="0" workbookViewId="0" topLeftCell="A2">
      <selection activeCell="I6" sqref="I6:I7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82" t="s">
        <v>105</v>
      </c>
      <c r="B1" s="58"/>
      <c r="C1" s="58"/>
      <c r="D1" s="58"/>
      <c r="E1" s="58"/>
      <c r="F1" s="58"/>
      <c r="G1" s="58"/>
      <c r="H1" s="58"/>
      <c r="I1" s="58"/>
    </row>
    <row r="2" spans="1:9" ht="15" customHeight="1">
      <c r="A2" s="59" t="s">
        <v>25</v>
      </c>
      <c r="B2" s="60"/>
      <c r="C2" s="66" t="str">
        <f>'Stavební rozpočet'!C2</f>
        <v>NAPOJENÍ KUCHYŇSKÉ LINKY V 3. NP NA INSTALAČNÍ ROZVODY V 2. NP.</v>
      </c>
      <c r="D2" s="67"/>
      <c r="E2" s="64" t="s">
        <v>345</v>
      </c>
      <c r="F2" s="64" t="str">
        <f>'Stavební rozpočet'!J2</f>
        <v>Městské zařízení sociálních služeb Karlovy Vary, p</v>
      </c>
      <c r="G2" s="60"/>
      <c r="H2" s="64" t="s">
        <v>263</v>
      </c>
      <c r="I2" s="69" t="s">
        <v>284</v>
      </c>
    </row>
    <row r="3" spans="1:9" ht="15" customHeight="1">
      <c r="A3" s="61"/>
      <c r="B3" s="62"/>
      <c r="C3" s="68"/>
      <c r="D3" s="68"/>
      <c r="E3" s="62"/>
      <c r="F3" s="62"/>
      <c r="G3" s="62"/>
      <c r="H3" s="62"/>
      <c r="I3" s="70"/>
    </row>
    <row r="4" spans="1:9" ht="15" customHeight="1">
      <c r="A4" s="63" t="s">
        <v>217</v>
      </c>
      <c r="B4" s="62"/>
      <c r="C4" s="65" t="str">
        <f>'Stavební rozpočet'!C4</f>
        <v>RT-2145-22</v>
      </c>
      <c r="D4" s="62"/>
      <c r="E4" s="65" t="s">
        <v>282</v>
      </c>
      <c r="F4" s="65" t="str">
        <f>'Stavební rozpočet'!J4</f>
        <v>Ing Jan Hruška, Josefa Lady 199, K.Vary-Olšová Vra</v>
      </c>
      <c r="G4" s="62"/>
      <c r="H4" s="65" t="s">
        <v>263</v>
      </c>
      <c r="I4" s="70" t="s">
        <v>284</v>
      </c>
    </row>
    <row r="5" spans="1:9" ht="15" customHeight="1">
      <c r="A5" s="61"/>
      <c r="B5" s="62"/>
      <c r="C5" s="62"/>
      <c r="D5" s="62"/>
      <c r="E5" s="62"/>
      <c r="F5" s="62"/>
      <c r="G5" s="62"/>
      <c r="H5" s="62"/>
      <c r="I5" s="70"/>
    </row>
    <row r="6" spans="1:9" ht="15" customHeight="1">
      <c r="A6" s="63" t="s">
        <v>36</v>
      </c>
      <c r="B6" s="62"/>
      <c r="C6" s="65" t="str">
        <f>'Stavební rozpočet'!C6</f>
        <v>KARLOVY VARY-STARÁ ROLE, ŠKOLNÍ 7</v>
      </c>
      <c r="D6" s="62"/>
      <c r="E6" s="65" t="s">
        <v>352</v>
      </c>
      <c r="F6" s="65" t="str">
        <f>'Stavební rozpočet'!J6</f>
        <v> </v>
      </c>
      <c r="G6" s="62"/>
      <c r="H6" s="65" t="s">
        <v>263</v>
      </c>
      <c r="I6" s="70" t="s">
        <v>284</v>
      </c>
    </row>
    <row r="7" spans="1:9" ht="15" customHeight="1">
      <c r="A7" s="61"/>
      <c r="B7" s="62"/>
      <c r="C7" s="62"/>
      <c r="D7" s="62"/>
      <c r="E7" s="62"/>
      <c r="F7" s="62"/>
      <c r="G7" s="62"/>
      <c r="H7" s="62"/>
      <c r="I7" s="70"/>
    </row>
    <row r="8" spans="1:9" ht="15" customHeight="1">
      <c r="A8" s="63" t="s">
        <v>357</v>
      </c>
      <c r="B8" s="62"/>
      <c r="C8" s="65" t="str">
        <f>'Stavební rozpočet'!G4</f>
        <v> </v>
      </c>
      <c r="D8" s="62"/>
      <c r="E8" s="65" t="s">
        <v>135</v>
      </c>
      <c r="F8" s="65" t="str">
        <f>'Stavební rozpočet'!G6</f>
        <v> </v>
      </c>
      <c r="G8" s="62"/>
      <c r="H8" s="62" t="s">
        <v>401</v>
      </c>
      <c r="I8" s="84">
        <v>83</v>
      </c>
    </row>
    <row r="9" spans="1:9" ht="15" customHeight="1">
      <c r="A9" s="61"/>
      <c r="B9" s="62"/>
      <c r="C9" s="62"/>
      <c r="D9" s="62"/>
      <c r="E9" s="62"/>
      <c r="F9" s="62"/>
      <c r="G9" s="62"/>
      <c r="H9" s="62"/>
      <c r="I9" s="70"/>
    </row>
    <row r="10" spans="1:9" ht="15" customHeight="1">
      <c r="A10" s="63" t="s">
        <v>197</v>
      </c>
      <c r="B10" s="62"/>
      <c r="C10" s="65" t="str">
        <f>'Stavební rozpočet'!C8</f>
        <v>801</v>
      </c>
      <c r="D10" s="62"/>
      <c r="E10" s="65" t="s">
        <v>271</v>
      </c>
      <c r="F10" s="65" t="str">
        <f>'Stavební rozpočet'!J8</f>
        <v>Volek S</v>
      </c>
      <c r="G10" s="62"/>
      <c r="H10" s="62" t="s">
        <v>384</v>
      </c>
      <c r="I10" s="81" t="str">
        <f>'Stavební rozpočet'!G8</f>
        <v>12.12.2021</v>
      </c>
    </row>
    <row r="11" spans="1:9" ht="15" customHeight="1">
      <c r="A11" s="83"/>
      <c r="B11" s="79"/>
      <c r="C11" s="79"/>
      <c r="D11" s="79"/>
      <c r="E11" s="79"/>
      <c r="F11" s="79"/>
      <c r="G11" s="79"/>
      <c r="H11" s="79"/>
      <c r="I11" s="85"/>
    </row>
    <row r="12" spans="1:9" ht="22.5" customHeight="1">
      <c r="A12" s="86" t="s">
        <v>75</v>
      </c>
      <c r="B12" s="86"/>
      <c r="C12" s="86"/>
      <c r="D12" s="86"/>
      <c r="E12" s="86"/>
      <c r="F12" s="86"/>
      <c r="G12" s="86"/>
      <c r="H12" s="86"/>
      <c r="I12" s="86"/>
    </row>
    <row r="13" spans="1:9" ht="26.25" customHeight="1">
      <c r="A13" s="10" t="s">
        <v>359</v>
      </c>
      <c r="B13" s="87" t="s">
        <v>55</v>
      </c>
      <c r="C13" s="88"/>
      <c r="D13" s="57" t="s">
        <v>81</v>
      </c>
      <c r="E13" s="87" t="s">
        <v>152</v>
      </c>
      <c r="F13" s="88"/>
      <c r="G13" s="57" t="s">
        <v>255</v>
      </c>
      <c r="H13" s="87" t="s">
        <v>82</v>
      </c>
      <c r="I13" s="88"/>
    </row>
    <row r="14" spans="1:9" ht="15" customHeight="1">
      <c r="A14" s="25" t="s">
        <v>155</v>
      </c>
      <c r="B14" s="24" t="s">
        <v>114</v>
      </c>
      <c r="C14" s="43">
        <f>SUM('Stavební rozpočet'!AB12:AB147)</f>
        <v>0</v>
      </c>
      <c r="D14" s="95" t="s">
        <v>291</v>
      </c>
      <c r="E14" s="96"/>
      <c r="F14" s="43">
        <v>0</v>
      </c>
      <c r="G14" s="95" t="s">
        <v>48</v>
      </c>
      <c r="H14" s="96"/>
      <c r="I14" s="22" t="s">
        <v>209</v>
      </c>
    </row>
    <row r="15" spans="1:9" ht="15" customHeight="1">
      <c r="A15" s="50" t="s">
        <v>284</v>
      </c>
      <c r="B15" s="24" t="s">
        <v>85</v>
      </c>
      <c r="C15" s="43">
        <f>SUM('Stavební rozpočet'!AC12:AC147)</f>
        <v>0</v>
      </c>
      <c r="D15" s="95" t="s">
        <v>43</v>
      </c>
      <c r="E15" s="96"/>
      <c r="F15" s="43">
        <v>0</v>
      </c>
      <c r="G15" s="95" t="s">
        <v>321</v>
      </c>
      <c r="H15" s="96"/>
      <c r="I15" s="22" t="s">
        <v>209</v>
      </c>
    </row>
    <row r="16" spans="1:9" ht="15" customHeight="1">
      <c r="A16" s="25" t="s">
        <v>41</v>
      </c>
      <c r="B16" s="24" t="s">
        <v>114</v>
      </c>
      <c r="C16" s="43">
        <f>SUM('Stavební rozpočet'!AD12:AD147)</f>
        <v>0</v>
      </c>
      <c r="D16" s="95" t="s">
        <v>299</v>
      </c>
      <c r="E16" s="96"/>
      <c r="F16" s="43">
        <v>0</v>
      </c>
      <c r="G16" s="95" t="s">
        <v>380</v>
      </c>
      <c r="H16" s="96"/>
      <c r="I16" s="22" t="s">
        <v>209</v>
      </c>
    </row>
    <row r="17" spans="1:9" ht="15" customHeight="1">
      <c r="A17" s="50" t="s">
        <v>284</v>
      </c>
      <c r="B17" s="24" t="s">
        <v>85</v>
      </c>
      <c r="C17" s="43">
        <f>SUM('Stavební rozpočet'!AE12:AE147)</f>
        <v>0</v>
      </c>
      <c r="D17" s="95" t="s">
        <v>284</v>
      </c>
      <c r="E17" s="96"/>
      <c r="F17" s="22" t="s">
        <v>284</v>
      </c>
      <c r="G17" s="95" t="s">
        <v>210</v>
      </c>
      <c r="H17" s="96"/>
      <c r="I17" s="22" t="s">
        <v>209</v>
      </c>
    </row>
    <row r="18" spans="1:9" ht="15" customHeight="1">
      <c r="A18" s="25" t="s">
        <v>129</v>
      </c>
      <c r="B18" s="24" t="s">
        <v>114</v>
      </c>
      <c r="C18" s="43">
        <f>SUM('Stavební rozpočet'!AF12:AF147)</f>
        <v>0</v>
      </c>
      <c r="D18" s="95" t="s">
        <v>284</v>
      </c>
      <c r="E18" s="96"/>
      <c r="F18" s="22" t="s">
        <v>284</v>
      </c>
      <c r="G18" s="95" t="s">
        <v>266</v>
      </c>
      <c r="H18" s="96"/>
      <c r="I18" s="22" t="s">
        <v>209</v>
      </c>
    </row>
    <row r="19" spans="1:9" ht="15" customHeight="1">
      <c r="A19" s="50" t="s">
        <v>284</v>
      </c>
      <c r="B19" s="24" t="s">
        <v>85</v>
      </c>
      <c r="C19" s="43">
        <f>SUM('Stavební rozpočet'!AG12:AG147)</f>
        <v>0</v>
      </c>
      <c r="D19" s="95" t="s">
        <v>284</v>
      </c>
      <c r="E19" s="96"/>
      <c r="F19" s="22" t="s">
        <v>284</v>
      </c>
      <c r="G19" s="95" t="s">
        <v>392</v>
      </c>
      <c r="H19" s="96"/>
      <c r="I19" s="22" t="s">
        <v>209</v>
      </c>
    </row>
    <row r="20" spans="1:9" ht="15" customHeight="1">
      <c r="A20" s="89" t="s">
        <v>26</v>
      </c>
      <c r="B20" s="90"/>
      <c r="C20" s="43">
        <f>SUM('Stavební rozpočet'!AH12:AH147)</f>
        <v>0</v>
      </c>
      <c r="D20" s="95" t="s">
        <v>284</v>
      </c>
      <c r="E20" s="96"/>
      <c r="F20" s="22" t="s">
        <v>284</v>
      </c>
      <c r="G20" s="95" t="s">
        <v>284</v>
      </c>
      <c r="H20" s="96"/>
      <c r="I20" s="22" t="s">
        <v>284</v>
      </c>
    </row>
    <row r="21" spans="1:9" ht="15" customHeight="1">
      <c r="A21" s="91" t="s">
        <v>391</v>
      </c>
      <c r="B21" s="92"/>
      <c r="C21" s="51">
        <f>SUM('Stavební rozpočet'!Z12:Z147)</f>
        <v>0</v>
      </c>
      <c r="D21" s="97" t="s">
        <v>284</v>
      </c>
      <c r="E21" s="98"/>
      <c r="F21" s="5" t="s">
        <v>284</v>
      </c>
      <c r="G21" s="97" t="s">
        <v>284</v>
      </c>
      <c r="H21" s="98"/>
      <c r="I21" s="5" t="s">
        <v>284</v>
      </c>
    </row>
    <row r="22" spans="1:9" ht="16.5" customHeight="1">
      <c r="A22" s="93" t="s">
        <v>91</v>
      </c>
      <c r="B22" s="94"/>
      <c r="C22" s="16">
        <f>SUM(C14:C21)</f>
        <v>0</v>
      </c>
      <c r="D22" s="99" t="s">
        <v>206</v>
      </c>
      <c r="E22" s="94"/>
      <c r="F22" s="16">
        <f>SUM(F14:F21)</f>
        <v>0</v>
      </c>
      <c r="G22" s="99" t="s">
        <v>402</v>
      </c>
      <c r="H22" s="94"/>
      <c r="I22" s="16">
        <f>SUM(I14:I21)</f>
        <v>0</v>
      </c>
    </row>
    <row r="23" spans="4:9" ht="15" customHeight="1">
      <c r="D23" s="89" t="s">
        <v>323</v>
      </c>
      <c r="E23" s="90"/>
      <c r="F23" s="39">
        <v>0</v>
      </c>
      <c r="G23" s="100" t="s">
        <v>13</v>
      </c>
      <c r="H23" s="90"/>
      <c r="I23" s="43">
        <v>0</v>
      </c>
    </row>
    <row r="24" spans="7:8" ht="15" customHeight="1">
      <c r="G24" s="89" t="s">
        <v>283</v>
      </c>
      <c r="H24" s="90"/>
    </row>
    <row r="25" spans="7:9" ht="15" customHeight="1">
      <c r="G25" s="89" t="s">
        <v>309</v>
      </c>
      <c r="H25" s="90"/>
      <c r="I25" s="16">
        <v>0</v>
      </c>
    </row>
    <row r="27" spans="1:3" ht="15" customHeight="1">
      <c r="A27" s="101" t="s">
        <v>168</v>
      </c>
      <c r="B27" s="102"/>
      <c r="C27" s="2">
        <f>SUM('Stavební rozpočet'!AJ12:AJ147)</f>
        <v>0</v>
      </c>
    </row>
    <row r="28" spans="1:9" ht="15" customHeight="1">
      <c r="A28" s="103" t="s">
        <v>4</v>
      </c>
      <c r="B28" s="104"/>
      <c r="C28" s="44">
        <f>SUM('Stavební rozpočet'!AK12:AK147)</f>
        <v>0</v>
      </c>
      <c r="D28" s="102" t="s">
        <v>102</v>
      </c>
      <c r="E28" s="102"/>
      <c r="F28" s="2">
        <f>ROUND(C28*(15/100),2)</f>
        <v>0</v>
      </c>
      <c r="G28" s="102" t="s">
        <v>63</v>
      </c>
      <c r="H28" s="102"/>
      <c r="I28" s="2">
        <f>SUM(C27:C29)</f>
        <v>0</v>
      </c>
    </row>
    <row r="29" spans="1:9" ht="15" customHeight="1">
      <c r="A29" s="103" t="s">
        <v>9</v>
      </c>
      <c r="B29" s="104"/>
      <c r="C29" s="44">
        <f>SUM('Stavební rozpočet'!AL12:AL147)+(F22+I22+F23+I23+I24+I25)</f>
        <v>0</v>
      </c>
      <c r="D29" s="104" t="s">
        <v>302</v>
      </c>
      <c r="E29" s="104"/>
      <c r="F29" s="44">
        <f>ROUND(C29*(21/100),2)</f>
        <v>0</v>
      </c>
      <c r="G29" s="104" t="s">
        <v>163</v>
      </c>
      <c r="H29" s="104"/>
      <c r="I29" s="44">
        <f>SUM(F28:F29)+I28</f>
        <v>0</v>
      </c>
    </row>
    <row r="31" spans="1:9" ht="15" customHeight="1">
      <c r="A31" s="105" t="s">
        <v>2</v>
      </c>
      <c r="B31" s="106"/>
      <c r="C31" s="107"/>
      <c r="D31" s="106" t="s">
        <v>373</v>
      </c>
      <c r="E31" s="106"/>
      <c r="F31" s="107"/>
      <c r="G31" s="106" t="s">
        <v>277</v>
      </c>
      <c r="H31" s="106"/>
      <c r="I31" s="107"/>
    </row>
    <row r="32" spans="1:9" ht="15" customHeight="1">
      <c r="A32" s="108" t="s">
        <v>284</v>
      </c>
      <c r="B32" s="97"/>
      <c r="C32" s="109"/>
      <c r="D32" s="97" t="s">
        <v>284</v>
      </c>
      <c r="E32" s="97"/>
      <c r="F32" s="109"/>
      <c r="G32" s="97" t="s">
        <v>284</v>
      </c>
      <c r="H32" s="97"/>
      <c r="I32" s="109"/>
    </row>
    <row r="33" spans="1:9" ht="15" customHeight="1">
      <c r="A33" s="108" t="s">
        <v>284</v>
      </c>
      <c r="B33" s="97"/>
      <c r="C33" s="109"/>
      <c r="D33" s="97" t="s">
        <v>284</v>
      </c>
      <c r="E33" s="97"/>
      <c r="F33" s="109"/>
      <c r="G33" s="97" t="s">
        <v>284</v>
      </c>
      <c r="H33" s="97"/>
      <c r="I33" s="109"/>
    </row>
    <row r="34" spans="1:9" ht="15" customHeight="1">
      <c r="A34" s="108" t="s">
        <v>284</v>
      </c>
      <c r="B34" s="97"/>
      <c r="C34" s="109"/>
      <c r="D34" s="97" t="s">
        <v>284</v>
      </c>
      <c r="E34" s="97"/>
      <c r="F34" s="109"/>
      <c r="G34" s="97" t="s">
        <v>284</v>
      </c>
      <c r="H34" s="97"/>
      <c r="I34" s="109"/>
    </row>
    <row r="35" spans="1:9" ht="15" customHeight="1">
      <c r="A35" s="110" t="s">
        <v>86</v>
      </c>
      <c r="B35" s="111"/>
      <c r="C35" s="112"/>
      <c r="D35" s="111" t="s">
        <v>86</v>
      </c>
      <c r="E35" s="111"/>
      <c r="F35" s="112"/>
      <c r="G35" s="111" t="s">
        <v>86</v>
      </c>
      <c r="H35" s="111"/>
      <c r="I35" s="112"/>
    </row>
    <row r="36" ht="15" customHeight="1">
      <c r="A36" s="3" t="s">
        <v>34</v>
      </c>
    </row>
    <row r="37" spans="1:9" ht="13.5" customHeight="1">
      <c r="A37" s="65" t="s">
        <v>132</v>
      </c>
      <c r="B37" s="62"/>
      <c r="C37" s="62"/>
      <c r="D37" s="62"/>
      <c r="E37" s="62"/>
      <c r="F37" s="62"/>
      <c r="G37" s="62"/>
      <c r="H37" s="62"/>
      <c r="I37" s="62"/>
    </row>
  </sheetData>
  <sheetProtection/>
  <mergeCells count="83"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1.1811023622047245" right="0.3937007874015748" top="0.5905511811023623" bottom="0.5905511811023623" header="0" footer="0"/>
  <pageSetup firstPageNumber="0" useFirstPageNumber="1"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OutlineSymbols="0" zoomScalePageLayoutView="0" workbookViewId="0" topLeftCell="A1">
      <pane ySplit="11" topLeftCell="A12" activePane="bottomLeft" state="frozen"/>
      <selection pane="topLeft" activeCell="C24" sqref="C24:D24"/>
      <selection pane="bottomLeft" activeCell="A1" sqref="A1:G1"/>
    </sheetView>
  </sheetViews>
  <sheetFormatPr defaultColWidth="14.16015625" defaultRowHeight="15" customHeight="1"/>
  <cols>
    <col min="1" max="2" width="10" style="0" customWidth="1"/>
    <col min="3" max="3" width="83.33203125" style="0" customWidth="1"/>
    <col min="4" max="4" width="14.16015625" style="0" customWidth="1"/>
    <col min="5" max="7" width="32.5" style="0" customWidth="1"/>
    <col min="8" max="9" width="0" style="0" hidden="1" customWidth="1"/>
  </cols>
  <sheetData>
    <row r="1" spans="1:7" ht="54.75" customHeight="1">
      <c r="A1" s="58" t="s">
        <v>336</v>
      </c>
      <c r="B1" s="58"/>
      <c r="C1" s="58"/>
      <c r="D1" s="58"/>
      <c r="E1" s="58"/>
      <c r="F1" s="58"/>
      <c r="G1" s="58"/>
    </row>
    <row r="2" spans="1:7" ht="15" customHeight="1">
      <c r="A2" s="59" t="s">
        <v>25</v>
      </c>
      <c r="B2" s="60"/>
      <c r="C2" s="66" t="str">
        <f>'Stavební rozpočet'!C2</f>
        <v>NAPOJENÍ KUCHYŇSKÉ LINKY V 3. NP NA INSTALAČNÍ ROZVODY V 2. NP.</v>
      </c>
      <c r="D2" s="60" t="s">
        <v>1</v>
      </c>
      <c r="E2" s="60" t="s">
        <v>368</v>
      </c>
      <c r="F2" s="64" t="s">
        <v>345</v>
      </c>
      <c r="G2" s="80" t="str">
        <f>'Stavební rozpočet'!J2</f>
        <v>Městské zařízení sociálních služeb Karlovy Vary, p</v>
      </c>
    </row>
    <row r="3" spans="1:7" ht="15" customHeight="1">
      <c r="A3" s="61"/>
      <c r="B3" s="62"/>
      <c r="C3" s="68"/>
      <c r="D3" s="62"/>
      <c r="E3" s="62"/>
      <c r="F3" s="62"/>
      <c r="G3" s="70"/>
    </row>
    <row r="4" spans="1:7" ht="15" customHeight="1">
      <c r="A4" s="63" t="s">
        <v>217</v>
      </c>
      <c r="B4" s="62"/>
      <c r="C4" s="65" t="str">
        <f>'Stavební rozpočet'!C4</f>
        <v>RT-2145-22</v>
      </c>
      <c r="D4" s="62" t="s">
        <v>357</v>
      </c>
      <c r="E4" s="62" t="s">
        <v>368</v>
      </c>
      <c r="F4" s="65" t="s">
        <v>282</v>
      </c>
      <c r="G4" s="81" t="str">
        <f>'Stavební rozpočet'!J4</f>
        <v>Ing Jan Hruška, Josefa Lady 199, K.Vary-Olšová Vra</v>
      </c>
    </row>
    <row r="5" spans="1:7" ht="15" customHeight="1">
      <c r="A5" s="61"/>
      <c r="B5" s="62"/>
      <c r="C5" s="62"/>
      <c r="D5" s="62"/>
      <c r="E5" s="62"/>
      <c r="F5" s="62"/>
      <c r="G5" s="70"/>
    </row>
    <row r="6" spans="1:7" ht="15" customHeight="1">
      <c r="A6" s="63" t="s">
        <v>36</v>
      </c>
      <c r="B6" s="62"/>
      <c r="C6" s="65" t="str">
        <f>'Stavební rozpočet'!C6</f>
        <v>KARLOVY VARY-STARÁ ROLE, ŠKOLNÍ 7</v>
      </c>
      <c r="D6" s="62" t="s">
        <v>135</v>
      </c>
      <c r="E6" s="62" t="s">
        <v>368</v>
      </c>
      <c r="F6" s="65" t="s">
        <v>352</v>
      </c>
      <c r="G6" s="81" t="str">
        <f>'Stavební rozpočet'!J6</f>
        <v> </v>
      </c>
    </row>
    <row r="7" spans="1:7" ht="15" customHeight="1">
      <c r="A7" s="61"/>
      <c r="B7" s="62"/>
      <c r="C7" s="62"/>
      <c r="D7" s="62"/>
      <c r="E7" s="62"/>
      <c r="F7" s="62"/>
      <c r="G7" s="70"/>
    </row>
    <row r="8" spans="1:7" ht="15" customHeight="1">
      <c r="A8" s="63" t="s">
        <v>271</v>
      </c>
      <c r="B8" s="62"/>
      <c r="C8" s="65" t="str">
        <f>'Stavební rozpočet'!J8</f>
        <v>Volek S</v>
      </c>
      <c r="D8" s="62" t="s">
        <v>223</v>
      </c>
      <c r="E8" s="62" t="s">
        <v>87</v>
      </c>
      <c r="F8" s="62" t="s">
        <v>223</v>
      </c>
      <c r="G8" s="81" t="str">
        <f>'Stavební rozpočet'!G8</f>
        <v>12.12.2021</v>
      </c>
    </row>
    <row r="9" spans="1:7" ht="15" customHeight="1">
      <c r="A9" s="61"/>
      <c r="B9" s="62"/>
      <c r="C9" s="62"/>
      <c r="D9" s="79"/>
      <c r="E9" s="62"/>
      <c r="F9" s="62"/>
      <c r="G9" s="70"/>
    </row>
    <row r="10" spans="1:7" ht="15" customHeight="1">
      <c r="A10" s="36" t="s">
        <v>300</v>
      </c>
      <c r="B10" s="20" t="s">
        <v>136</v>
      </c>
      <c r="C10" s="7" t="s">
        <v>423</v>
      </c>
      <c r="E10" s="35" t="s">
        <v>204</v>
      </c>
      <c r="F10" s="48" t="s">
        <v>437</v>
      </c>
      <c r="G10" s="48" t="s">
        <v>19</v>
      </c>
    </row>
    <row r="11" spans="1:9" ht="15" customHeight="1">
      <c r="A11" s="9" t="s">
        <v>284</v>
      </c>
      <c r="B11" s="1" t="s">
        <v>434</v>
      </c>
      <c r="C11" s="62" t="s">
        <v>108</v>
      </c>
      <c r="D11" s="62"/>
      <c r="E11" s="33">
        <f>'Stavební rozpočet'!J12</f>
        <v>0</v>
      </c>
      <c r="F11" s="33">
        <f>'Stavební rozpočet'!K12</f>
        <v>0</v>
      </c>
      <c r="G11" s="33">
        <f>'Stavební rozpočet'!L12</f>
        <v>0</v>
      </c>
      <c r="H11" s="56" t="s">
        <v>383</v>
      </c>
      <c r="I11" s="33">
        <f aca="true" t="shared" si="0" ref="I11:I24">IF(H11="F",0,G11)</f>
        <v>0</v>
      </c>
    </row>
    <row r="12" spans="1:9" ht="15" customHeight="1">
      <c r="A12" s="9" t="s">
        <v>284</v>
      </c>
      <c r="B12" s="1" t="s">
        <v>293</v>
      </c>
      <c r="C12" s="62" t="s">
        <v>290</v>
      </c>
      <c r="D12" s="62"/>
      <c r="E12" s="33">
        <f>'Stavební rozpočet'!J15</f>
        <v>0</v>
      </c>
      <c r="F12" s="33">
        <f>'Stavební rozpočet'!K15</f>
        <v>0</v>
      </c>
      <c r="G12" s="33">
        <f>'Stavební rozpočet'!L15</f>
        <v>0</v>
      </c>
      <c r="H12" s="56" t="s">
        <v>383</v>
      </c>
      <c r="I12" s="33">
        <f t="shared" si="0"/>
        <v>0</v>
      </c>
    </row>
    <row r="13" spans="1:9" ht="15" customHeight="1">
      <c r="A13" s="9" t="s">
        <v>284</v>
      </c>
      <c r="B13" s="1" t="s">
        <v>259</v>
      </c>
      <c r="C13" s="62" t="s">
        <v>438</v>
      </c>
      <c r="D13" s="62"/>
      <c r="E13" s="33">
        <f>'Stavební rozpočet'!J25</f>
        <v>0</v>
      </c>
      <c r="F13" s="33">
        <f>'Stavební rozpočet'!K25</f>
        <v>0</v>
      </c>
      <c r="G13" s="33">
        <f>'Stavební rozpočet'!L25</f>
        <v>0</v>
      </c>
      <c r="H13" s="56" t="s">
        <v>383</v>
      </c>
      <c r="I13" s="33">
        <f t="shared" si="0"/>
        <v>0</v>
      </c>
    </row>
    <row r="14" spans="1:9" ht="15" customHeight="1">
      <c r="A14" s="9" t="s">
        <v>284</v>
      </c>
      <c r="B14" s="1" t="s">
        <v>363</v>
      </c>
      <c r="C14" s="62" t="s">
        <v>245</v>
      </c>
      <c r="D14" s="62"/>
      <c r="E14" s="33">
        <f>'Stavební rozpočet'!J32</f>
        <v>0</v>
      </c>
      <c r="F14" s="33">
        <f>'Stavební rozpočet'!K32</f>
        <v>0</v>
      </c>
      <c r="G14" s="33">
        <f>'Stavební rozpočet'!L32</f>
        <v>0</v>
      </c>
      <c r="H14" s="56" t="s">
        <v>383</v>
      </c>
      <c r="I14" s="33">
        <f t="shared" si="0"/>
        <v>0</v>
      </c>
    </row>
    <row r="15" spans="1:9" ht="15" customHeight="1">
      <c r="A15" s="9" t="s">
        <v>284</v>
      </c>
      <c r="B15" s="1" t="s">
        <v>381</v>
      </c>
      <c r="C15" s="62" t="s">
        <v>235</v>
      </c>
      <c r="D15" s="62"/>
      <c r="E15" s="33">
        <f>'Stavební rozpočet'!J51</f>
        <v>0</v>
      </c>
      <c r="F15" s="33">
        <f>'Stavební rozpočet'!K51</f>
        <v>0</v>
      </c>
      <c r="G15" s="33">
        <f>'Stavební rozpočet'!L51</f>
        <v>0</v>
      </c>
      <c r="H15" s="56" t="s">
        <v>383</v>
      </c>
      <c r="I15" s="33">
        <f t="shared" si="0"/>
        <v>0</v>
      </c>
    </row>
    <row r="16" spans="1:9" ht="15" customHeight="1">
      <c r="A16" s="9" t="s">
        <v>284</v>
      </c>
      <c r="B16" s="1" t="s">
        <v>318</v>
      </c>
      <c r="C16" s="62" t="s">
        <v>270</v>
      </c>
      <c r="D16" s="62"/>
      <c r="E16" s="33">
        <f>'Stavební rozpočet'!J54</f>
        <v>0</v>
      </c>
      <c r="F16" s="33">
        <f>'Stavební rozpočet'!K54</f>
        <v>0</v>
      </c>
      <c r="G16" s="33">
        <f>'Stavební rozpočet'!L54</f>
        <v>0</v>
      </c>
      <c r="H16" s="56" t="s">
        <v>383</v>
      </c>
      <c r="I16" s="33">
        <f t="shared" si="0"/>
        <v>0</v>
      </c>
    </row>
    <row r="17" spans="1:9" ht="15" customHeight="1">
      <c r="A17" s="9" t="s">
        <v>284</v>
      </c>
      <c r="B17" s="1" t="s">
        <v>326</v>
      </c>
      <c r="C17" s="62" t="s">
        <v>182</v>
      </c>
      <c r="D17" s="62"/>
      <c r="E17" s="33">
        <f>'Stavební rozpočet'!J62</f>
        <v>0</v>
      </c>
      <c r="F17" s="33">
        <f>'Stavební rozpočet'!K62</f>
        <v>0</v>
      </c>
      <c r="G17" s="33">
        <f>'Stavební rozpočet'!L62</f>
        <v>0</v>
      </c>
      <c r="H17" s="56" t="s">
        <v>383</v>
      </c>
      <c r="I17" s="33">
        <f t="shared" si="0"/>
        <v>0</v>
      </c>
    </row>
    <row r="18" spans="1:9" ht="15" customHeight="1">
      <c r="A18" s="9" t="s">
        <v>284</v>
      </c>
      <c r="B18" s="1" t="s">
        <v>221</v>
      </c>
      <c r="C18" s="62" t="s">
        <v>5</v>
      </c>
      <c r="D18" s="62"/>
      <c r="E18" s="33">
        <f>'Stavební rozpočet'!J70</f>
        <v>0</v>
      </c>
      <c r="F18" s="33">
        <f>'Stavební rozpočet'!K70</f>
        <v>0</v>
      </c>
      <c r="G18" s="33">
        <f>'Stavební rozpočet'!L70</f>
        <v>0</v>
      </c>
      <c r="H18" s="56" t="s">
        <v>383</v>
      </c>
      <c r="I18" s="33">
        <f t="shared" si="0"/>
        <v>0</v>
      </c>
    </row>
    <row r="19" spans="1:9" ht="15" customHeight="1">
      <c r="A19" s="9" t="s">
        <v>284</v>
      </c>
      <c r="B19" s="1" t="s">
        <v>53</v>
      </c>
      <c r="C19" s="62" t="s">
        <v>287</v>
      </c>
      <c r="D19" s="62"/>
      <c r="E19" s="33">
        <f>'Stavební rozpočet'!J77</f>
        <v>0</v>
      </c>
      <c r="F19" s="33">
        <f>'Stavební rozpočet'!K77</f>
        <v>0</v>
      </c>
      <c r="G19" s="33">
        <f>'Stavební rozpočet'!L77</f>
        <v>0</v>
      </c>
      <c r="H19" s="56" t="s">
        <v>383</v>
      </c>
      <c r="I19" s="33">
        <f t="shared" si="0"/>
        <v>0</v>
      </c>
    </row>
    <row r="20" spans="1:9" ht="15" customHeight="1">
      <c r="A20" s="9" t="s">
        <v>284</v>
      </c>
      <c r="B20" s="1" t="s">
        <v>160</v>
      </c>
      <c r="C20" s="62" t="s">
        <v>301</v>
      </c>
      <c r="D20" s="62"/>
      <c r="E20" s="33">
        <f>'Stavební rozpočet'!J80</f>
        <v>0</v>
      </c>
      <c r="F20" s="33">
        <f>'Stavební rozpočet'!K80</f>
        <v>0</v>
      </c>
      <c r="G20" s="33">
        <f>'Stavební rozpočet'!L80</f>
        <v>0</v>
      </c>
      <c r="H20" s="56" t="s">
        <v>383</v>
      </c>
      <c r="I20" s="33">
        <f t="shared" si="0"/>
        <v>0</v>
      </c>
    </row>
    <row r="21" spans="1:9" ht="15" customHeight="1">
      <c r="A21" s="9" t="s">
        <v>284</v>
      </c>
      <c r="B21" s="1" t="s">
        <v>52</v>
      </c>
      <c r="C21" s="62" t="s">
        <v>421</v>
      </c>
      <c r="D21" s="62"/>
      <c r="E21" s="33">
        <f>'Stavební rozpočet'!J82</f>
        <v>0</v>
      </c>
      <c r="F21" s="33">
        <f>'Stavební rozpočet'!K82</f>
        <v>0</v>
      </c>
      <c r="G21" s="33">
        <f>'Stavební rozpočet'!L82</f>
        <v>0</v>
      </c>
      <c r="H21" s="56" t="s">
        <v>383</v>
      </c>
      <c r="I21" s="33">
        <f t="shared" si="0"/>
        <v>0</v>
      </c>
    </row>
    <row r="22" spans="1:9" ht="15" customHeight="1">
      <c r="A22" s="9" t="s">
        <v>284</v>
      </c>
      <c r="B22" s="1" t="s">
        <v>417</v>
      </c>
      <c r="C22" s="62" t="s">
        <v>142</v>
      </c>
      <c r="D22" s="62"/>
      <c r="E22" s="33">
        <f>'Stavební rozpočet'!J104</f>
        <v>0</v>
      </c>
      <c r="F22" s="33">
        <f>'Stavební rozpočet'!K104</f>
        <v>0</v>
      </c>
      <c r="G22" s="33">
        <f>'Stavební rozpočet'!L104</f>
        <v>0</v>
      </c>
      <c r="H22" s="56" t="s">
        <v>383</v>
      </c>
      <c r="I22" s="33">
        <f t="shared" si="0"/>
        <v>0</v>
      </c>
    </row>
    <row r="23" spans="1:9" ht="15" customHeight="1">
      <c r="A23" s="9" t="s">
        <v>284</v>
      </c>
      <c r="B23" s="1" t="s">
        <v>67</v>
      </c>
      <c r="C23" s="62" t="s">
        <v>125</v>
      </c>
      <c r="D23" s="62"/>
      <c r="E23" s="33">
        <f>'Stavební rozpočet'!J107</f>
        <v>0</v>
      </c>
      <c r="F23" s="33">
        <f>'Stavební rozpočet'!K107</f>
        <v>0</v>
      </c>
      <c r="G23" s="33">
        <f>'Stavební rozpočet'!L107</f>
        <v>0</v>
      </c>
      <c r="H23" s="56" t="s">
        <v>383</v>
      </c>
      <c r="I23" s="33">
        <f t="shared" si="0"/>
        <v>0</v>
      </c>
    </row>
    <row r="24" spans="1:9" ht="15" customHeight="1">
      <c r="A24" s="9" t="s">
        <v>284</v>
      </c>
      <c r="B24" s="1" t="s">
        <v>137</v>
      </c>
      <c r="C24" s="62" t="s">
        <v>179</v>
      </c>
      <c r="D24" s="62"/>
      <c r="E24" s="33">
        <f>'Stavební rozpočet'!J129</f>
        <v>0</v>
      </c>
      <c r="F24" s="33">
        <f>'Stavební rozpočet'!K129</f>
        <v>0</v>
      </c>
      <c r="G24" s="33">
        <f>'Stavební rozpočet'!L129</f>
        <v>0</v>
      </c>
      <c r="H24" s="56" t="s">
        <v>383</v>
      </c>
      <c r="I24" s="33">
        <f t="shared" si="0"/>
        <v>0</v>
      </c>
    </row>
    <row r="25" spans="6:7" ht="15" customHeight="1">
      <c r="F25" s="41" t="s">
        <v>320</v>
      </c>
      <c r="G25" s="40">
        <f>SUM(I11:I24)</f>
        <v>0</v>
      </c>
    </row>
  </sheetData>
  <sheetProtection/>
  <mergeCells count="39">
    <mergeCell ref="C24:D24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E8:E9"/>
    <mergeCell ref="G2:G3"/>
    <mergeCell ref="G4:G5"/>
    <mergeCell ref="G6:G7"/>
    <mergeCell ref="G8:G9"/>
    <mergeCell ref="C11:D11"/>
    <mergeCell ref="F4:F5"/>
    <mergeCell ref="F6:F7"/>
    <mergeCell ref="F8:F9"/>
    <mergeCell ref="C2:C3"/>
    <mergeCell ref="C4:C5"/>
    <mergeCell ref="C6:C7"/>
    <mergeCell ref="C8:C9"/>
    <mergeCell ref="E2:E3"/>
    <mergeCell ref="E4:E5"/>
    <mergeCell ref="E6:E7"/>
    <mergeCell ref="A1:G1"/>
    <mergeCell ref="A2:B3"/>
    <mergeCell ref="A4:B5"/>
    <mergeCell ref="A6:B7"/>
    <mergeCell ref="A8:B9"/>
    <mergeCell ref="D2:D3"/>
    <mergeCell ref="D4:D5"/>
    <mergeCell ref="D6:D7"/>
    <mergeCell ref="D8:D9"/>
    <mergeCell ref="F2:F3"/>
  </mergeCells>
  <printOptions/>
  <pageMargins left="0.394" right="0.394" top="0.591" bottom="0.591" header="0" footer="0"/>
  <pageSetup firstPageNumber="0" useFirstPageNumber="1" fitToHeight="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50"/>
  <sheetViews>
    <sheetView showOutlineSymbols="0" zoomScalePageLayoutView="0" workbookViewId="0" topLeftCell="A1">
      <pane ySplit="11" topLeftCell="A12" activePane="bottomLeft" state="frozen"/>
      <selection pane="topLeft" activeCell="A150" sqref="A150:M150"/>
      <selection pane="bottomLeft" activeCell="A1" sqref="A1:M1"/>
    </sheetView>
  </sheetViews>
  <sheetFormatPr defaultColWidth="14.16015625" defaultRowHeight="15" customHeight="1"/>
  <cols>
    <col min="1" max="1" width="4.66015625" style="0" customWidth="1"/>
    <col min="2" max="2" width="20.83203125" style="0" customWidth="1"/>
    <col min="3" max="3" width="32.66015625" style="0" customWidth="1"/>
    <col min="4" max="4" width="82.16015625" style="0" customWidth="1"/>
    <col min="5" max="6" width="14.16015625" style="0" customWidth="1"/>
    <col min="7" max="7" width="7.5" style="0" customWidth="1"/>
    <col min="8" max="8" width="15" style="0" customWidth="1"/>
    <col min="9" max="9" width="14" style="0" customWidth="1"/>
    <col min="10" max="12" width="18.33203125" style="0" customWidth="1"/>
    <col min="13" max="13" width="13.66015625" style="0" customWidth="1"/>
    <col min="14" max="24" width="14.16015625" style="0" customWidth="1"/>
    <col min="25" max="64" width="14.16015625" style="0" hidden="1" customWidth="1"/>
  </cols>
  <sheetData>
    <row r="1" spans="1:13" ht="54.75" customHeight="1">
      <c r="A1" s="58" t="s">
        <v>364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" customHeight="1">
      <c r="A2" s="59" t="s">
        <v>25</v>
      </c>
      <c r="B2" s="60"/>
      <c r="C2" s="66" t="s">
        <v>224</v>
      </c>
      <c r="D2" s="67"/>
      <c r="E2" s="60" t="s">
        <v>1</v>
      </c>
      <c r="F2" s="60"/>
      <c r="G2" s="60" t="s">
        <v>368</v>
      </c>
      <c r="H2" s="60"/>
      <c r="I2" s="64" t="s">
        <v>345</v>
      </c>
      <c r="J2" s="64" t="s">
        <v>15</v>
      </c>
      <c r="K2" s="60"/>
      <c r="L2" s="60"/>
      <c r="M2" s="69"/>
    </row>
    <row r="3" spans="1:13" ht="15" customHeight="1">
      <c r="A3" s="61"/>
      <c r="B3" s="62"/>
      <c r="C3" s="68"/>
      <c r="D3" s="68"/>
      <c r="E3" s="62"/>
      <c r="F3" s="62"/>
      <c r="G3" s="62"/>
      <c r="H3" s="62"/>
      <c r="I3" s="62"/>
      <c r="J3" s="62"/>
      <c r="K3" s="62"/>
      <c r="L3" s="62"/>
      <c r="M3" s="70"/>
    </row>
    <row r="4" spans="1:13" ht="15" customHeight="1">
      <c r="A4" s="63" t="s">
        <v>217</v>
      </c>
      <c r="B4" s="62"/>
      <c r="C4" s="65" t="s">
        <v>225</v>
      </c>
      <c r="D4" s="62"/>
      <c r="E4" s="62" t="s">
        <v>357</v>
      </c>
      <c r="F4" s="62"/>
      <c r="G4" s="62" t="s">
        <v>368</v>
      </c>
      <c r="H4" s="62"/>
      <c r="I4" s="65" t="s">
        <v>282</v>
      </c>
      <c r="J4" s="65" t="s">
        <v>65</v>
      </c>
      <c r="K4" s="62"/>
      <c r="L4" s="62"/>
      <c r="M4" s="70"/>
    </row>
    <row r="5" spans="1:13" ht="15" customHeight="1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70"/>
    </row>
    <row r="6" spans="1:13" ht="15" customHeight="1">
      <c r="A6" s="63" t="s">
        <v>36</v>
      </c>
      <c r="B6" s="62"/>
      <c r="C6" s="65" t="s">
        <v>60</v>
      </c>
      <c r="D6" s="62"/>
      <c r="E6" s="62" t="s">
        <v>135</v>
      </c>
      <c r="F6" s="62"/>
      <c r="G6" s="62" t="s">
        <v>368</v>
      </c>
      <c r="H6" s="62"/>
      <c r="I6" s="65" t="s">
        <v>352</v>
      </c>
      <c r="J6" s="62" t="s">
        <v>194</v>
      </c>
      <c r="K6" s="62"/>
      <c r="L6" s="62"/>
      <c r="M6" s="70"/>
    </row>
    <row r="7" spans="1:13" ht="15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70"/>
    </row>
    <row r="8" spans="1:13" ht="15" customHeight="1">
      <c r="A8" s="63" t="s">
        <v>197</v>
      </c>
      <c r="B8" s="62"/>
      <c r="C8" s="65" t="s">
        <v>98</v>
      </c>
      <c r="D8" s="62"/>
      <c r="E8" s="62" t="s">
        <v>223</v>
      </c>
      <c r="F8" s="62"/>
      <c r="G8" s="62" t="s">
        <v>87</v>
      </c>
      <c r="H8" s="62"/>
      <c r="I8" s="65" t="s">
        <v>271</v>
      </c>
      <c r="J8" s="65" t="s">
        <v>92</v>
      </c>
      <c r="K8" s="62"/>
      <c r="L8" s="62"/>
      <c r="M8" s="70"/>
    </row>
    <row r="9" spans="1:13" ht="15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70"/>
    </row>
    <row r="10" spans="1:64" ht="15" customHeight="1">
      <c r="A10" s="27" t="s">
        <v>30</v>
      </c>
      <c r="B10" s="7" t="s">
        <v>136</v>
      </c>
      <c r="C10" s="71" t="s">
        <v>423</v>
      </c>
      <c r="D10" s="71"/>
      <c r="E10" s="71"/>
      <c r="F10" s="72"/>
      <c r="G10" s="7" t="s">
        <v>145</v>
      </c>
      <c r="H10" s="11" t="s">
        <v>238</v>
      </c>
      <c r="I10" s="52" t="s">
        <v>134</v>
      </c>
      <c r="J10" s="75" t="s">
        <v>257</v>
      </c>
      <c r="K10" s="76"/>
      <c r="L10" s="77"/>
      <c r="M10" s="15" t="s">
        <v>120</v>
      </c>
      <c r="BK10" s="21" t="s">
        <v>162</v>
      </c>
      <c r="BL10" s="45" t="s">
        <v>208</v>
      </c>
    </row>
    <row r="11" spans="1:62" ht="15" customHeight="1">
      <c r="A11" s="47" t="s">
        <v>368</v>
      </c>
      <c r="B11" s="54" t="s">
        <v>368</v>
      </c>
      <c r="C11" s="73" t="s">
        <v>398</v>
      </c>
      <c r="D11" s="73"/>
      <c r="E11" s="73"/>
      <c r="F11" s="74"/>
      <c r="G11" s="54" t="s">
        <v>368</v>
      </c>
      <c r="H11" s="54" t="s">
        <v>368</v>
      </c>
      <c r="I11" s="12" t="s">
        <v>375</v>
      </c>
      <c r="J11" s="37" t="s">
        <v>11</v>
      </c>
      <c r="K11" s="28" t="s">
        <v>85</v>
      </c>
      <c r="L11" s="18" t="s">
        <v>45</v>
      </c>
      <c r="M11" s="18" t="s">
        <v>115</v>
      </c>
      <c r="Z11" s="21" t="s">
        <v>315</v>
      </c>
      <c r="AA11" s="21" t="s">
        <v>246</v>
      </c>
      <c r="AB11" s="21" t="s">
        <v>413</v>
      </c>
      <c r="AC11" s="21" t="s">
        <v>124</v>
      </c>
      <c r="AD11" s="21" t="s">
        <v>347</v>
      </c>
      <c r="AE11" s="21" t="s">
        <v>154</v>
      </c>
      <c r="AF11" s="21" t="s">
        <v>362</v>
      </c>
      <c r="AG11" s="21" t="s">
        <v>181</v>
      </c>
      <c r="AH11" s="21" t="s">
        <v>116</v>
      </c>
      <c r="BH11" s="21" t="s">
        <v>316</v>
      </c>
      <c r="BI11" s="21" t="s">
        <v>403</v>
      </c>
      <c r="BJ11" s="21" t="s">
        <v>427</v>
      </c>
    </row>
    <row r="12" spans="1:47" ht="15" customHeight="1">
      <c r="A12" s="17" t="s">
        <v>284</v>
      </c>
      <c r="B12" s="32" t="s">
        <v>434</v>
      </c>
      <c r="C12" s="78" t="s">
        <v>108</v>
      </c>
      <c r="D12" s="78"/>
      <c r="E12" s="78"/>
      <c r="F12" s="78"/>
      <c r="G12" s="13" t="s">
        <v>368</v>
      </c>
      <c r="H12" s="13" t="s">
        <v>368</v>
      </c>
      <c r="I12" s="13" t="s">
        <v>368</v>
      </c>
      <c r="J12" s="4">
        <f>SUM(J13:J13)</f>
        <v>0</v>
      </c>
      <c r="K12" s="4">
        <f>SUM(K13:K13)</f>
        <v>0</v>
      </c>
      <c r="L12" s="4">
        <f>SUM(L13:L13)</f>
        <v>0</v>
      </c>
      <c r="M12" s="31" t="s">
        <v>284</v>
      </c>
      <c r="AI12" s="21" t="s">
        <v>284</v>
      </c>
      <c r="AS12" s="14">
        <f>SUM(AJ13:AJ13)</f>
        <v>0</v>
      </c>
      <c r="AT12" s="14">
        <f>SUM(AK13:AK13)</f>
        <v>0</v>
      </c>
      <c r="AU12" s="14">
        <f>SUM(AL13:AL13)</f>
        <v>0</v>
      </c>
    </row>
    <row r="13" spans="1:64" ht="15" customHeight="1">
      <c r="A13" s="9" t="s">
        <v>395</v>
      </c>
      <c r="B13" s="1" t="s">
        <v>294</v>
      </c>
      <c r="C13" s="62" t="s">
        <v>296</v>
      </c>
      <c r="D13" s="62"/>
      <c r="E13" s="62"/>
      <c r="F13" s="62"/>
      <c r="G13" s="1" t="s">
        <v>388</v>
      </c>
      <c r="H13" s="33">
        <v>2.8</v>
      </c>
      <c r="I13" s="33">
        <v>0</v>
      </c>
      <c r="J13" s="33">
        <f>H13*AO13</f>
        <v>0</v>
      </c>
      <c r="K13" s="33">
        <f>H13*AP13</f>
        <v>0</v>
      </c>
      <c r="L13" s="33">
        <f>H13*I13</f>
        <v>0</v>
      </c>
      <c r="M13" s="26" t="s">
        <v>157</v>
      </c>
      <c r="Z13" s="33">
        <f>IF(AQ13="5",BJ13,0)</f>
        <v>0</v>
      </c>
      <c r="AB13" s="33">
        <f>IF(AQ13="1",BH13,0)</f>
        <v>0</v>
      </c>
      <c r="AC13" s="33">
        <f>IF(AQ13="1",BI13,0)</f>
        <v>0</v>
      </c>
      <c r="AD13" s="33">
        <f>IF(AQ13="7",BH13,0)</f>
        <v>0</v>
      </c>
      <c r="AE13" s="33">
        <f>IF(AQ13="7",BI13,0)</f>
        <v>0</v>
      </c>
      <c r="AF13" s="33">
        <f>IF(AQ13="2",BH13,0)</f>
        <v>0</v>
      </c>
      <c r="AG13" s="33">
        <f>IF(AQ13="2",BI13,0)</f>
        <v>0</v>
      </c>
      <c r="AH13" s="33">
        <f>IF(AQ13="0",BJ13,0)</f>
        <v>0</v>
      </c>
      <c r="AI13" s="21" t="s">
        <v>284</v>
      </c>
      <c r="AJ13" s="33">
        <f>IF(AN13=0,L13,0)</f>
        <v>0</v>
      </c>
      <c r="AK13" s="33">
        <f>IF(AN13=15,L13,0)</f>
        <v>0</v>
      </c>
      <c r="AL13" s="33">
        <f>IF(AN13=21,L13,0)</f>
        <v>0</v>
      </c>
      <c r="AN13" s="33">
        <v>21</v>
      </c>
      <c r="AO13" s="33">
        <f>I13*0.468484980584028</f>
        <v>0</v>
      </c>
      <c r="AP13" s="33">
        <f>I13*(1-0.468484980584028)</f>
        <v>0</v>
      </c>
      <c r="AQ13" s="56" t="s">
        <v>395</v>
      </c>
      <c r="AV13" s="33">
        <f>AW13+AX13</f>
        <v>0</v>
      </c>
      <c r="AW13" s="33">
        <f>H13*AO13</f>
        <v>0</v>
      </c>
      <c r="AX13" s="33">
        <f>H13*AP13</f>
        <v>0</v>
      </c>
      <c r="AY13" s="56" t="s">
        <v>289</v>
      </c>
      <c r="AZ13" s="56" t="s">
        <v>16</v>
      </c>
      <c r="BA13" s="21" t="s">
        <v>306</v>
      </c>
      <c r="BC13" s="33">
        <f>AW13+AX13</f>
        <v>0</v>
      </c>
      <c r="BD13" s="33">
        <f>I13/(100-BE13)*100</f>
        <v>0</v>
      </c>
      <c r="BE13" s="33">
        <v>0</v>
      </c>
      <c r="BF13" s="33">
        <f>13</f>
        <v>13</v>
      </c>
      <c r="BH13" s="33">
        <f>H13*AO13</f>
        <v>0</v>
      </c>
      <c r="BI13" s="33">
        <f>H13*AP13</f>
        <v>0</v>
      </c>
      <c r="BJ13" s="33">
        <f>H13*I13</f>
        <v>0</v>
      </c>
      <c r="BK13" s="33"/>
      <c r="BL13" s="33">
        <v>34</v>
      </c>
    </row>
    <row r="14" spans="1:13" ht="15" customHeight="1">
      <c r="A14" s="46"/>
      <c r="C14" s="29" t="s">
        <v>190</v>
      </c>
      <c r="F14" s="29" t="s">
        <v>284</v>
      </c>
      <c r="H14" s="8">
        <v>2.8000000000000003</v>
      </c>
      <c r="M14" s="38"/>
    </row>
    <row r="15" spans="1:47" ht="15" customHeight="1">
      <c r="A15" s="30" t="s">
        <v>284</v>
      </c>
      <c r="B15" s="42" t="s">
        <v>293</v>
      </c>
      <c r="C15" s="78" t="s">
        <v>290</v>
      </c>
      <c r="D15" s="78"/>
      <c r="E15" s="78"/>
      <c r="F15" s="78"/>
      <c r="G15" s="53" t="s">
        <v>368</v>
      </c>
      <c r="H15" s="53" t="s">
        <v>368</v>
      </c>
      <c r="I15" s="53" t="s">
        <v>368</v>
      </c>
      <c r="J15" s="14">
        <f>SUM(J16:J21)</f>
        <v>0</v>
      </c>
      <c r="K15" s="14">
        <f>SUM(K16:K21)</f>
        <v>0</v>
      </c>
      <c r="L15" s="14">
        <f>SUM(L16:L21)</f>
        <v>0</v>
      </c>
      <c r="M15" s="55" t="s">
        <v>284</v>
      </c>
      <c r="AI15" s="21" t="s">
        <v>284</v>
      </c>
      <c r="AS15" s="14">
        <f>SUM(AJ16:AJ21)</f>
        <v>0</v>
      </c>
      <c r="AT15" s="14">
        <f>SUM(AK16:AK21)</f>
        <v>0</v>
      </c>
      <c r="AU15" s="14">
        <f>SUM(AL16:AL21)</f>
        <v>0</v>
      </c>
    </row>
    <row r="16" spans="1:64" ht="15" customHeight="1">
      <c r="A16" s="9" t="s">
        <v>281</v>
      </c>
      <c r="B16" s="1" t="s">
        <v>17</v>
      </c>
      <c r="C16" s="62" t="s">
        <v>96</v>
      </c>
      <c r="D16" s="62"/>
      <c r="E16" s="62"/>
      <c r="F16" s="62"/>
      <c r="G16" s="1" t="s">
        <v>335</v>
      </c>
      <c r="H16" s="33">
        <v>21</v>
      </c>
      <c r="I16" s="33">
        <v>0</v>
      </c>
      <c r="J16" s="33">
        <f>H16*AO16</f>
        <v>0</v>
      </c>
      <c r="K16" s="33">
        <f>H16*AP16</f>
        <v>0</v>
      </c>
      <c r="L16" s="33">
        <f>H16*I16</f>
        <v>0</v>
      </c>
      <c r="M16" s="26" t="s">
        <v>157</v>
      </c>
      <c r="Z16" s="33">
        <f>IF(AQ16="5",BJ16,0)</f>
        <v>0</v>
      </c>
      <c r="AB16" s="33">
        <f>IF(AQ16="1",BH16,0)</f>
        <v>0</v>
      </c>
      <c r="AC16" s="33">
        <f>IF(AQ16="1",BI16,0)</f>
        <v>0</v>
      </c>
      <c r="AD16" s="33">
        <f>IF(AQ16="7",BH16,0)</f>
        <v>0</v>
      </c>
      <c r="AE16" s="33">
        <f>IF(AQ16="7",BI16,0)</f>
        <v>0</v>
      </c>
      <c r="AF16" s="33">
        <f>IF(AQ16="2",BH16,0)</f>
        <v>0</v>
      </c>
      <c r="AG16" s="33">
        <f>IF(AQ16="2",BI16,0)</f>
        <v>0</v>
      </c>
      <c r="AH16" s="33">
        <f>IF(AQ16="0",BJ16,0)</f>
        <v>0</v>
      </c>
      <c r="AI16" s="21" t="s">
        <v>284</v>
      </c>
      <c r="AJ16" s="33">
        <f>IF(AN16=0,L16,0)</f>
        <v>0</v>
      </c>
      <c r="AK16" s="33">
        <f>IF(AN16=15,L16,0)</f>
        <v>0</v>
      </c>
      <c r="AL16" s="33">
        <f>IF(AN16=21,L16,0)</f>
        <v>0</v>
      </c>
      <c r="AN16" s="33">
        <v>21</v>
      </c>
      <c r="AO16" s="33">
        <f>I16*0.310325203252033</f>
        <v>0</v>
      </c>
      <c r="AP16" s="33">
        <f>I16*(1-0.310325203252033)</f>
        <v>0</v>
      </c>
      <c r="AQ16" s="56" t="s">
        <v>395</v>
      </c>
      <c r="AV16" s="33">
        <f>AW16+AX16</f>
        <v>0</v>
      </c>
      <c r="AW16" s="33">
        <f>H16*AO16</f>
        <v>0</v>
      </c>
      <c r="AX16" s="33">
        <f>H16*AP16</f>
        <v>0</v>
      </c>
      <c r="AY16" s="56" t="s">
        <v>250</v>
      </c>
      <c r="AZ16" s="56" t="s">
        <v>58</v>
      </c>
      <c r="BA16" s="21" t="s">
        <v>306</v>
      </c>
      <c r="BC16" s="33">
        <f>AW16+AX16</f>
        <v>0</v>
      </c>
      <c r="BD16" s="33">
        <f>I16/(100-BE16)*100</f>
        <v>0</v>
      </c>
      <c r="BE16" s="33">
        <v>0</v>
      </c>
      <c r="BF16" s="33">
        <f>16</f>
        <v>16</v>
      </c>
      <c r="BH16" s="33">
        <f>H16*AO16</f>
        <v>0</v>
      </c>
      <c r="BI16" s="33">
        <f>H16*AP16</f>
        <v>0</v>
      </c>
      <c r="BJ16" s="33">
        <f>H16*I16</f>
        <v>0</v>
      </c>
      <c r="BK16" s="33"/>
      <c r="BL16" s="33">
        <v>61</v>
      </c>
    </row>
    <row r="17" spans="1:13" ht="15" customHeight="1">
      <c r="A17" s="46"/>
      <c r="C17" s="29" t="s">
        <v>313</v>
      </c>
      <c r="F17" s="29" t="s">
        <v>284</v>
      </c>
      <c r="H17" s="8">
        <v>1</v>
      </c>
      <c r="M17" s="38"/>
    </row>
    <row r="18" spans="1:13" ht="15" customHeight="1">
      <c r="A18" s="46"/>
      <c r="C18" s="29" t="s">
        <v>279</v>
      </c>
      <c r="F18" s="29" t="s">
        <v>284</v>
      </c>
      <c r="H18" s="8">
        <v>20</v>
      </c>
      <c r="M18" s="38"/>
    </row>
    <row r="19" spans="1:64" ht="15" customHeight="1">
      <c r="A19" s="9" t="s">
        <v>351</v>
      </c>
      <c r="B19" s="1" t="s">
        <v>416</v>
      </c>
      <c r="C19" s="62" t="s">
        <v>33</v>
      </c>
      <c r="D19" s="62"/>
      <c r="E19" s="62"/>
      <c r="F19" s="62"/>
      <c r="G19" s="1" t="s">
        <v>335</v>
      </c>
      <c r="H19" s="33">
        <v>1</v>
      </c>
      <c r="I19" s="33">
        <v>0</v>
      </c>
      <c r="J19" s="33">
        <f>H19*AO19</f>
        <v>0</v>
      </c>
      <c r="K19" s="33">
        <f>H19*AP19</f>
        <v>0</v>
      </c>
      <c r="L19" s="33">
        <f>H19*I19</f>
        <v>0</v>
      </c>
      <c r="M19" s="26" t="s">
        <v>157</v>
      </c>
      <c r="Z19" s="33">
        <f>IF(AQ19="5",BJ19,0)</f>
        <v>0</v>
      </c>
      <c r="AB19" s="33">
        <f>IF(AQ19="1",BH19,0)</f>
        <v>0</v>
      </c>
      <c r="AC19" s="33">
        <f>IF(AQ19="1",BI19,0)</f>
        <v>0</v>
      </c>
      <c r="AD19" s="33">
        <f>IF(AQ19="7",BH19,0)</f>
        <v>0</v>
      </c>
      <c r="AE19" s="33">
        <f>IF(AQ19="7",BI19,0)</f>
        <v>0</v>
      </c>
      <c r="AF19" s="33">
        <f>IF(AQ19="2",BH19,0)</f>
        <v>0</v>
      </c>
      <c r="AG19" s="33">
        <f>IF(AQ19="2",BI19,0)</f>
        <v>0</v>
      </c>
      <c r="AH19" s="33">
        <f>IF(AQ19="0",BJ19,0)</f>
        <v>0</v>
      </c>
      <c r="AI19" s="21" t="s">
        <v>284</v>
      </c>
      <c r="AJ19" s="33">
        <f>IF(AN19=0,L19,0)</f>
        <v>0</v>
      </c>
      <c r="AK19" s="33">
        <f>IF(AN19=15,L19,0)</f>
        <v>0</v>
      </c>
      <c r="AL19" s="33">
        <f>IF(AN19=21,L19,0)</f>
        <v>0</v>
      </c>
      <c r="AN19" s="33">
        <v>21</v>
      </c>
      <c r="AO19" s="33">
        <f>I19*0.398319076984285</f>
        <v>0</v>
      </c>
      <c r="AP19" s="33">
        <f>I19*(1-0.398319076984285)</f>
        <v>0</v>
      </c>
      <c r="AQ19" s="56" t="s">
        <v>395</v>
      </c>
      <c r="AV19" s="33">
        <f>AW19+AX19</f>
        <v>0</v>
      </c>
      <c r="AW19" s="33">
        <f>H19*AO19</f>
        <v>0</v>
      </c>
      <c r="AX19" s="33">
        <f>H19*AP19</f>
        <v>0</v>
      </c>
      <c r="AY19" s="56" t="s">
        <v>250</v>
      </c>
      <c r="AZ19" s="56" t="s">
        <v>58</v>
      </c>
      <c r="BA19" s="21" t="s">
        <v>306</v>
      </c>
      <c r="BC19" s="33">
        <f>AW19+AX19</f>
        <v>0</v>
      </c>
      <c r="BD19" s="33">
        <f>I19/(100-BE19)*100</f>
        <v>0</v>
      </c>
      <c r="BE19" s="33">
        <v>0</v>
      </c>
      <c r="BF19" s="33">
        <f>19</f>
        <v>19</v>
      </c>
      <c r="BH19" s="33">
        <f>H19*AO19</f>
        <v>0</v>
      </c>
      <c r="BI19" s="33">
        <f>H19*AP19</f>
        <v>0</v>
      </c>
      <c r="BJ19" s="33">
        <f>H19*I19</f>
        <v>0</v>
      </c>
      <c r="BK19" s="33"/>
      <c r="BL19" s="33">
        <v>61</v>
      </c>
    </row>
    <row r="20" spans="1:13" ht="15" customHeight="1">
      <c r="A20" s="46"/>
      <c r="C20" s="29" t="s">
        <v>236</v>
      </c>
      <c r="F20" s="29" t="s">
        <v>284</v>
      </c>
      <c r="H20" s="8">
        <v>1</v>
      </c>
      <c r="M20" s="38"/>
    </row>
    <row r="21" spans="1:64" ht="15" customHeight="1">
      <c r="A21" s="9" t="s">
        <v>51</v>
      </c>
      <c r="B21" s="1" t="s">
        <v>169</v>
      </c>
      <c r="C21" s="62" t="s">
        <v>126</v>
      </c>
      <c r="D21" s="62"/>
      <c r="E21" s="62"/>
      <c r="F21" s="62"/>
      <c r="G21" s="1" t="s">
        <v>388</v>
      </c>
      <c r="H21" s="33">
        <v>3.3</v>
      </c>
      <c r="I21" s="33">
        <v>0</v>
      </c>
      <c r="J21" s="33">
        <f>H21*AO21</f>
        <v>0</v>
      </c>
      <c r="K21" s="33">
        <f>H21*AP21</f>
        <v>0</v>
      </c>
      <c r="L21" s="33">
        <f>H21*I21</f>
        <v>0</v>
      </c>
      <c r="M21" s="26" t="s">
        <v>157</v>
      </c>
      <c r="Z21" s="33">
        <f>IF(AQ21="5",BJ21,0)</f>
        <v>0</v>
      </c>
      <c r="AB21" s="33">
        <f>IF(AQ21="1",BH21,0)</f>
        <v>0</v>
      </c>
      <c r="AC21" s="33">
        <f>IF(AQ21="1",BI21,0)</f>
        <v>0</v>
      </c>
      <c r="AD21" s="33">
        <f>IF(AQ21="7",BH21,0)</f>
        <v>0</v>
      </c>
      <c r="AE21" s="33">
        <f>IF(AQ21="7",BI21,0)</f>
        <v>0</v>
      </c>
      <c r="AF21" s="33">
        <f>IF(AQ21="2",BH21,0)</f>
        <v>0</v>
      </c>
      <c r="AG21" s="33">
        <f>IF(AQ21="2",BI21,0)</f>
        <v>0</v>
      </c>
      <c r="AH21" s="33">
        <f>IF(AQ21="0",BJ21,0)</f>
        <v>0</v>
      </c>
      <c r="AI21" s="21" t="s">
        <v>284</v>
      </c>
      <c r="AJ21" s="33">
        <f>IF(AN21=0,L21,0)</f>
        <v>0</v>
      </c>
      <c r="AK21" s="33">
        <f>IF(AN21=15,L21,0)</f>
        <v>0</v>
      </c>
      <c r="AL21" s="33">
        <f>IF(AN21=21,L21,0)</f>
        <v>0</v>
      </c>
      <c r="AN21" s="33">
        <v>21</v>
      </c>
      <c r="AO21" s="33">
        <f>I21*0.148271276595745</f>
        <v>0</v>
      </c>
      <c r="AP21" s="33">
        <f>I21*(1-0.148271276595745)</f>
        <v>0</v>
      </c>
      <c r="AQ21" s="56" t="s">
        <v>395</v>
      </c>
      <c r="AV21" s="33">
        <f>AW21+AX21</f>
        <v>0</v>
      </c>
      <c r="AW21" s="33">
        <f>H21*AO21</f>
        <v>0</v>
      </c>
      <c r="AX21" s="33">
        <f>H21*AP21</f>
        <v>0</v>
      </c>
      <c r="AY21" s="56" t="s">
        <v>250</v>
      </c>
      <c r="AZ21" s="56" t="s">
        <v>58</v>
      </c>
      <c r="BA21" s="21" t="s">
        <v>306</v>
      </c>
      <c r="BC21" s="33">
        <f>AW21+AX21</f>
        <v>0</v>
      </c>
      <c r="BD21" s="33">
        <f>I21/(100-BE21)*100</f>
        <v>0</v>
      </c>
      <c r="BE21" s="33">
        <v>0</v>
      </c>
      <c r="BF21" s="33">
        <f>21</f>
        <v>21</v>
      </c>
      <c r="BH21" s="33">
        <f>H21*AO21</f>
        <v>0</v>
      </c>
      <c r="BI21" s="33">
        <f>H21*AP21</f>
        <v>0</v>
      </c>
      <c r="BJ21" s="33">
        <f>H21*I21</f>
        <v>0</v>
      </c>
      <c r="BK21" s="33"/>
      <c r="BL21" s="33">
        <v>61</v>
      </c>
    </row>
    <row r="22" spans="1:13" ht="15" customHeight="1">
      <c r="A22" s="46"/>
      <c r="C22" s="29" t="s">
        <v>173</v>
      </c>
      <c r="F22" s="29" t="s">
        <v>284</v>
      </c>
      <c r="H22" s="8">
        <v>0.15000000000000002</v>
      </c>
      <c r="M22" s="38"/>
    </row>
    <row r="23" spans="1:13" ht="15" customHeight="1">
      <c r="A23" s="46"/>
      <c r="C23" s="29" t="s">
        <v>393</v>
      </c>
      <c r="F23" s="29" t="s">
        <v>284</v>
      </c>
      <c r="H23" s="8">
        <v>3.0000000000000004</v>
      </c>
      <c r="M23" s="38"/>
    </row>
    <row r="24" spans="1:13" ht="15" customHeight="1">
      <c r="A24" s="46"/>
      <c r="C24" s="29" t="s">
        <v>426</v>
      </c>
      <c r="F24" s="29" t="s">
        <v>284</v>
      </c>
      <c r="H24" s="8">
        <v>0.15000000000000002</v>
      </c>
      <c r="M24" s="38"/>
    </row>
    <row r="25" spans="1:47" ht="15" customHeight="1">
      <c r="A25" s="30" t="s">
        <v>284</v>
      </c>
      <c r="B25" s="42" t="s">
        <v>259</v>
      </c>
      <c r="C25" s="78" t="s">
        <v>438</v>
      </c>
      <c r="D25" s="78"/>
      <c r="E25" s="78"/>
      <c r="F25" s="78"/>
      <c r="G25" s="53" t="s">
        <v>368</v>
      </c>
      <c r="H25" s="53" t="s">
        <v>368</v>
      </c>
      <c r="I25" s="53" t="s">
        <v>368</v>
      </c>
      <c r="J25" s="14">
        <f>SUM(J26:J31)</f>
        <v>0</v>
      </c>
      <c r="K25" s="14">
        <f>SUM(K26:K31)</f>
        <v>0</v>
      </c>
      <c r="L25" s="14">
        <f>SUM(L26:L31)</f>
        <v>0</v>
      </c>
      <c r="M25" s="55" t="s">
        <v>284</v>
      </c>
      <c r="AI25" s="21" t="s">
        <v>284</v>
      </c>
      <c r="AS25" s="14">
        <f>SUM(AJ26:AJ31)</f>
        <v>0</v>
      </c>
      <c r="AT25" s="14">
        <f>SUM(AK26:AK31)</f>
        <v>0</v>
      </c>
      <c r="AU25" s="14">
        <f>SUM(AL26:AL31)</f>
        <v>0</v>
      </c>
    </row>
    <row r="26" spans="1:64" ht="15" customHeight="1">
      <c r="A26" s="9" t="s">
        <v>212</v>
      </c>
      <c r="B26" s="1" t="s">
        <v>180</v>
      </c>
      <c r="C26" s="62" t="s">
        <v>231</v>
      </c>
      <c r="D26" s="62"/>
      <c r="E26" s="62"/>
      <c r="F26" s="62"/>
      <c r="G26" s="1" t="s">
        <v>112</v>
      </c>
      <c r="H26" s="33">
        <v>1</v>
      </c>
      <c r="I26" s="33">
        <v>0</v>
      </c>
      <c r="J26" s="33">
        <f aca="true" t="shared" si="0" ref="J26:J31">H26*AO26</f>
        <v>0</v>
      </c>
      <c r="K26" s="33">
        <f aca="true" t="shared" si="1" ref="K26:K31">H26*AP26</f>
        <v>0</v>
      </c>
      <c r="L26" s="33">
        <f aca="true" t="shared" si="2" ref="L26:L31">H26*I26</f>
        <v>0</v>
      </c>
      <c r="M26" s="26" t="s">
        <v>157</v>
      </c>
      <c r="Z26" s="33">
        <f aca="true" t="shared" si="3" ref="Z26:Z31">IF(AQ26="5",BJ26,0)</f>
        <v>0</v>
      </c>
      <c r="AB26" s="33">
        <f aca="true" t="shared" si="4" ref="AB26:AB31">IF(AQ26="1",BH26,0)</f>
        <v>0</v>
      </c>
      <c r="AC26" s="33">
        <f aca="true" t="shared" si="5" ref="AC26:AC31">IF(AQ26="1",BI26,0)</f>
        <v>0</v>
      </c>
      <c r="AD26" s="33">
        <f aca="true" t="shared" si="6" ref="AD26:AD31">IF(AQ26="7",BH26,0)</f>
        <v>0</v>
      </c>
      <c r="AE26" s="33">
        <f aca="true" t="shared" si="7" ref="AE26:AE31">IF(AQ26="7",BI26,0)</f>
        <v>0</v>
      </c>
      <c r="AF26" s="33">
        <f aca="true" t="shared" si="8" ref="AF26:AF31">IF(AQ26="2",BH26,0)</f>
        <v>0</v>
      </c>
      <c r="AG26" s="33">
        <f aca="true" t="shared" si="9" ref="AG26:AG31">IF(AQ26="2",BI26,0)</f>
        <v>0</v>
      </c>
      <c r="AH26" s="33">
        <f aca="true" t="shared" si="10" ref="AH26:AH31">IF(AQ26="0",BJ26,0)</f>
        <v>0</v>
      </c>
      <c r="AI26" s="21" t="s">
        <v>284</v>
      </c>
      <c r="AJ26" s="33">
        <f aca="true" t="shared" si="11" ref="AJ26:AJ31">IF(AN26=0,L26,0)</f>
        <v>0</v>
      </c>
      <c r="AK26" s="33">
        <f aca="true" t="shared" si="12" ref="AK26:AK31">IF(AN26=15,L26,0)</f>
        <v>0</v>
      </c>
      <c r="AL26" s="33">
        <f aca="true" t="shared" si="13" ref="AL26:AL31">IF(AN26=21,L26,0)</f>
        <v>0</v>
      </c>
      <c r="AN26" s="33">
        <v>21</v>
      </c>
      <c r="AO26" s="33">
        <f>I26*0.2356206009116</f>
        <v>0</v>
      </c>
      <c r="AP26" s="33">
        <f>I26*(1-0.2356206009116)</f>
        <v>0</v>
      </c>
      <c r="AQ26" s="56" t="s">
        <v>396</v>
      </c>
      <c r="AV26" s="33">
        <f aca="true" t="shared" si="14" ref="AV26:AV31">AW26+AX26</f>
        <v>0</v>
      </c>
      <c r="AW26" s="33">
        <f aca="true" t="shared" si="15" ref="AW26:AW31">H26*AO26</f>
        <v>0</v>
      </c>
      <c r="AX26" s="33">
        <f aca="true" t="shared" si="16" ref="AX26:AX31">H26*AP26</f>
        <v>0</v>
      </c>
      <c r="AY26" s="56" t="s">
        <v>68</v>
      </c>
      <c r="AZ26" s="56" t="s">
        <v>22</v>
      </c>
      <c r="BA26" s="21" t="s">
        <v>306</v>
      </c>
      <c r="BC26" s="33">
        <f aca="true" t="shared" si="17" ref="BC26:BC31">AW26+AX26</f>
        <v>0</v>
      </c>
      <c r="BD26" s="33">
        <f aca="true" t="shared" si="18" ref="BD26:BD31">I26/(100-BE26)*100</f>
        <v>0</v>
      </c>
      <c r="BE26" s="33">
        <v>0</v>
      </c>
      <c r="BF26" s="33">
        <f>26</f>
        <v>26</v>
      </c>
      <c r="BH26" s="33">
        <f aca="true" t="shared" si="19" ref="BH26:BH31">H26*AO26</f>
        <v>0</v>
      </c>
      <c r="BI26" s="33">
        <f aca="true" t="shared" si="20" ref="BI26:BI31">H26*AP26</f>
        <v>0</v>
      </c>
      <c r="BJ26" s="33">
        <f aca="true" t="shared" si="21" ref="BJ26:BJ31">H26*I26</f>
        <v>0</v>
      </c>
      <c r="BK26" s="33"/>
      <c r="BL26" s="33">
        <v>721</v>
      </c>
    </row>
    <row r="27" spans="1:64" ht="15" customHeight="1">
      <c r="A27" s="9" t="s">
        <v>74</v>
      </c>
      <c r="B27" s="1" t="s">
        <v>172</v>
      </c>
      <c r="C27" s="62" t="s">
        <v>328</v>
      </c>
      <c r="D27" s="62"/>
      <c r="E27" s="62"/>
      <c r="F27" s="62"/>
      <c r="G27" s="1" t="s">
        <v>335</v>
      </c>
      <c r="H27" s="33">
        <v>6</v>
      </c>
      <c r="I27" s="33">
        <v>0</v>
      </c>
      <c r="J27" s="33">
        <f t="shared" si="0"/>
        <v>0</v>
      </c>
      <c r="K27" s="33">
        <f t="shared" si="1"/>
        <v>0</v>
      </c>
      <c r="L27" s="33">
        <f t="shared" si="2"/>
        <v>0</v>
      </c>
      <c r="M27" s="26" t="s">
        <v>157</v>
      </c>
      <c r="Z27" s="33">
        <f t="shared" si="3"/>
        <v>0</v>
      </c>
      <c r="AB27" s="33">
        <f t="shared" si="4"/>
        <v>0</v>
      </c>
      <c r="AC27" s="33">
        <f t="shared" si="5"/>
        <v>0</v>
      </c>
      <c r="AD27" s="33">
        <f t="shared" si="6"/>
        <v>0</v>
      </c>
      <c r="AE27" s="33">
        <f t="shared" si="7"/>
        <v>0</v>
      </c>
      <c r="AF27" s="33">
        <f t="shared" si="8"/>
        <v>0</v>
      </c>
      <c r="AG27" s="33">
        <f t="shared" si="9"/>
        <v>0</v>
      </c>
      <c r="AH27" s="33">
        <f t="shared" si="10"/>
        <v>0</v>
      </c>
      <c r="AI27" s="21" t="s">
        <v>284</v>
      </c>
      <c r="AJ27" s="33">
        <f t="shared" si="11"/>
        <v>0</v>
      </c>
      <c r="AK27" s="33">
        <f t="shared" si="12"/>
        <v>0</v>
      </c>
      <c r="AL27" s="33">
        <f t="shared" si="13"/>
        <v>0</v>
      </c>
      <c r="AN27" s="33">
        <v>21</v>
      </c>
      <c r="AO27" s="33">
        <f>I27*0.378966666666667</f>
        <v>0</v>
      </c>
      <c r="AP27" s="33">
        <f>I27*(1-0.378966666666667)</f>
        <v>0</v>
      </c>
      <c r="AQ27" s="56" t="s">
        <v>396</v>
      </c>
      <c r="AV27" s="33">
        <f t="shared" si="14"/>
        <v>0</v>
      </c>
      <c r="AW27" s="33">
        <f t="shared" si="15"/>
        <v>0</v>
      </c>
      <c r="AX27" s="33">
        <f t="shared" si="16"/>
        <v>0</v>
      </c>
      <c r="AY27" s="56" t="s">
        <v>68</v>
      </c>
      <c r="AZ27" s="56" t="s">
        <v>22</v>
      </c>
      <c r="BA27" s="21" t="s">
        <v>306</v>
      </c>
      <c r="BC27" s="33">
        <f t="shared" si="17"/>
        <v>0</v>
      </c>
      <c r="BD27" s="33">
        <f t="shared" si="18"/>
        <v>0</v>
      </c>
      <c r="BE27" s="33">
        <v>0</v>
      </c>
      <c r="BF27" s="33">
        <f>27</f>
        <v>27</v>
      </c>
      <c r="BH27" s="33">
        <f t="shared" si="19"/>
        <v>0</v>
      </c>
      <c r="BI27" s="33">
        <f t="shared" si="20"/>
        <v>0</v>
      </c>
      <c r="BJ27" s="33">
        <f t="shared" si="21"/>
        <v>0</v>
      </c>
      <c r="BK27" s="33"/>
      <c r="BL27" s="33">
        <v>721</v>
      </c>
    </row>
    <row r="28" spans="1:64" ht="15" customHeight="1">
      <c r="A28" s="9" t="s">
        <v>396</v>
      </c>
      <c r="B28" s="1" t="s">
        <v>62</v>
      </c>
      <c r="C28" s="62" t="s">
        <v>372</v>
      </c>
      <c r="D28" s="62"/>
      <c r="E28" s="62"/>
      <c r="F28" s="62"/>
      <c r="G28" s="1" t="s">
        <v>335</v>
      </c>
      <c r="H28" s="33">
        <v>2</v>
      </c>
      <c r="I28" s="33">
        <v>0</v>
      </c>
      <c r="J28" s="33">
        <f t="shared" si="0"/>
        <v>0</v>
      </c>
      <c r="K28" s="33">
        <f t="shared" si="1"/>
        <v>0</v>
      </c>
      <c r="L28" s="33">
        <f t="shared" si="2"/>
        <v>0</v>
      </c>
      <c r="M28" s="26" t="s">
        <v>340</v>
      </c>
      <c r="Z28" s="33">
        <f t="shared" si="3"/>
        <v>0</v>
      </c>
      <c r="AB28" s="33">
        <f t="shared" si="4"/>
        <v>0</v>
      </c>
      <c r="AC28" s="33">
        <f t="shared" si="5"/>
        <v>0</v>
      </c>
      <c r="AD28" s="33">
        <f t="shared" si="6"/>
        <v>0</v>
      </c>
      <c r="AE28" s="33">
        <f t="shared" si="7"/>
        <v>0</v>
      </c>
      <c r="AF28" s="33">
        <f t="shared" si="8"/>
        <v>0</v>
      </c>
      <c r="AG28" s="33">
        <f t="shared" si="9"/>
        <v>0</v>
      </c>
      <c r="AH28" s="33">
        <f t="shared" si="10"/>
        <v>0</v>
      </c>
      <c r="AI28" s="21" t="s">
        <v>284</v>
      </c>
      <c r="AJ28" s="33">
        <f t="shared" si="11"/>
        <v>0</v>
      </c>
      <c r="AK28" s="33">
        <f t="shared" si="12"/>
        <v>0</v>
      </c>
      <c r="AL28" s="33">
        <f t="shared" si="13"/>
        <v>0</v>
      </c>
      <c r="AN28" s="33">
        <v>21</v>
      </c>
      <c r="AO28" s="33">
        <f>I28*0.404518388791594</f>
        <v>0</v>
      </c>
      <c r="AP28" s="33">
        <f>I28*(1-0.404518388791594)</f>
        <v>0</v>
      </c>
      <c r="AQ28" s="56" t="s">
        <v>396</v>
      </c>
      <c r="AV28" s="33">
        <f t="shared" si="14"/>
        <v>0</v>
      </c>
      <c r="AW28" s="33">
        <f t="shared" si="15"/>
        <v>0</v>
      </c>
      <c r="AX28" s="33">
        <f t="shared" si="16"/>
        <v>0</v>
      </c>
      <c r="AY28" s="56" t="s">
        <v>68</v>
      </c>
      <c r="AZ28" s="56" t="s">
        <v>22</v>
      </c>
      <c r="BA28" s="21" t="s">
        <v>306</v>
      </c>
      <c r="BC28" s="33">
        <f t="shared" si="17"/>
        <v>0</v>
      </c>
      <c r="BD28" s="33">
        <f t="shared" si="18"/>
        <v>0</v>
      </c>
      <c r="BE28" s="33">
        <v>0</v>
      </c>
      <c r="BF28" s="33">
        <f>28</f>
        <v>28</v>
      </c>
      <c r="BH28" s="33">
        <f t="shared" si="19"/>
        <v>0</v>
      </c>
      <c r="BI28" s="33">
        <f t="shared" si="20"/>
        <v>0</v>
      </c>
      <c r="BJ28" s="33">
        <f t="shared" si="21"/>
        <v>0</v>
      </c>
      <c r="BK28" s="33"/>
      <c r="BL28" s="33">
        <v>721</v>
      </c>
    </row>
    <row r="29" spans="1:64" ht="15" customHeight="1">
      <c r="A29" s="9" t="s">
        <v>319</v>
      </c>
      <c r="B29" s="1" t="s">
        <v>12</v>
      </c>
      <c r="C29" s="62" t="s">
        <v>232</v>
      </c>
      <c r="D29" s="62"/>
      <c r="E29" s="62"/>
      <c r="F29" s="62"/>
      <c r="G29" s="1" t="s">
        <v>112</v>
      </c>
      <c r="H29" s="33">
        <v>1</v>
      </c>
      <c r="I29" s="33">
        <v>0</v>
      </c>
      <c r="J29" s="33">
        <f t="shared" si="0"/>
        <v>0</v>
      </c>
      <c r="K29" s="33">
        <f t="shared" si="1"/>
        <v>0</v>
      </c>
      <c r="L29" s="33">
        <f t="shared" si="2"/>
        <v>0</v>
      </c>
      <c r="M29" s="26" t="s">
        <v>157</v>
      </c>
      <c r="Z29" s="33">
        <f t="shared" si="3"/>
        <v>0</v>
      </c>
      <c r="AB29" s="33">
        <f t="shared" si="4"/>
        <v>0</v>
      </c>
      <c r="AC29" s="33">
        <f t="shared" si="5"/>
        <v>0</v>
      </c>
      <c r="AD29" s="33">
        <f t="shared" si="6"/>
        <v>0</v>
      </c>
      <c r="AE29" s="33">
        <f t="shared" si="7"/>
        <v>0</v>
      </c>
      <c r="AF29" s="33">
        <f t="shared" si="8"/>
        <v>0</v>
      </c>
      <c r="AG29" s="33">
        <f t="shared" si="9"/>
        <v>0</v>
      </c>
      <c r="AH29" s="33">
        <f t="shared" si="10"/>
        <v>0</v>
      </c>
      <c r="AI29" s="21" t="s">
        <v>284</v>
      </c>
      <c r="AJ29" s="33">
        <f t="shared" si="11"/>
        <v>0</v>
      </c>
      <c r="AK29" s="33">
        <f t="shared" si="12"/>
        <v>0</v>
      </c>
      <c r="AL29" s="33">
        <f t="shared" si="13"/>
        <v>0</v>
      </c>
      <c r="AN29" s="33">
        <v>21</v>
      </c>
      <c r="AO29" s="33">
        <f>I29*0</f>
        <v>0</v>
      </c>
      <c r="AP29" s="33">
        <f>I29*(1-0)</f>
        <v>0</v>
      </c>
      <c r="AQ29" s="56" t="s">
        <v>396</v>
      </c>
      <c r="AV29" s="33">
        <f t="shared" si="14"/>
        <v>0</v>
      </c>
      <c r="AW29" s="33">
        <f t="shared" si="15"/>
        <v>0</v>
      </c>
      <c r="AX29" s="33">
        <f t="shared" si="16"/>
        <v>0</v>
      </c>
      <c r="AY29" s="56" t="s">
        <v>68</v>
      </c>
      <c r="AZ29" s="56" t="s">
        <v>22</v>
      </c>
      <c r="BA29" s="21" t="s">
        <v>306</v>
      </c>
      <c r="BC29" s="33">
        <f t="shared" si="17"/>
        <v>0</v>
      </c>
      <c r="BD29" s="33">
        <f t="shared" si="18"/>
        <v>0</v>
      </c>
      <c r="BE29" s="33">
        <v>0</v>
      </c>
      <c r="BF29" s="33">
        <f>29</f>
        <v>29</v>
      </c>
      <c r="BH29" s="33">
        <f t="shared" si="19"/>
        <v>0</v>
      </c>
      <c r="BI29" s="33">
        <f t="shared" si="20"/>
        <v>0</v>
      </c>
      <c r="BJ29" s="33">
        <f t="shared" si="21"/>
        <v>0</v>
      </c>
      <c r="BK29" s="33"/>
      <c r="BL29" s="33">
        <v>721</v>
      </c>
    </row>
    <row r="30" spans="1:64" ht="15" customHeight="1">
      <c r="A30" s="9" t="s">
        <v>158</v>
      </c>
      <c r="B30" s="1" t="s">
        <v>343</v>
      </c>
      <c r="C30" s="62" t="s">
        <v>334</v>
      </c>
      <c r="D30" s="62"/>
      <c r="E30" s="62"/>
      <c r="F30" s="62"/>
      <c r="G30" s="1" t="s">
        <v>335</v>
      </c>
      <c r="H30" s="33">
        <v>5</v>
      </c>
      <c r="I30" s="33">
        <v>0</v>
      </c>
      <c r="J30" s="33">
        <f t="shared" si="0"/>
        <v>0</v>
      </c>
      <c r="K30" s="33">
        <f t="shared" si="1"/>
        <v>0</v>
      </c>
      <c r="L30" s="33">
        <f t="shared" si="2"/>
        <v>0</v>
      </c>
      <c r="M30" s="26" t="s">
        <v>157</v>
      </c>
      <c r="Z30" s="33">
        <f t="shared" si="3"/>
        <v>0</v>
      </c>
      <c r="AB30" s="33">
        <f t="shared" si="4"/>
        <v>0</v>
      </c>
      <c r="AC30" s="33">
        <f t="shared" si="5"/>
        <v>0</v>
      </c>
      <c r="AD30" s="33">
        <f t="shared" si="6"/>
        <v>0</v>
      </c>
      <c r="AE30" s="33">
        <f t="shared" si="7"/>
        <v>0</v>
      </c>
      <c r="AF30" s="33">
        <f t="shared" si="8"/>
        <v>0</v>
      </c>
      <c r="AG30" s="33">
        <f t="shared" si="9"/>
        <v>0</v>
      </c>
      <c r="AH30" s="33">
        <f t="shared" si="10"/>
        <v>0</v>
      </c>
      <c r="AI30" s="21" t="s">
        <v>284</v>
      </c>
      <c r="AJ30" s="33">
        <f t="shared" si="11"/>
        <v>0</v>
      </c>
      <c r="AK30" s="33">
        <f t="shared" si="12"/>
        <v>0</v>
      </c>
      <c r="AL30" s="33">
        <f t="shared" si="13"/>
        <v>0</v>
      </c>
      <c r="AN30" s="33">
        <v>21</v>
      </c>
      <c r="AO30" s="33">
        <f>I30*0.0265728800312622</f>
        <v>0</v>
      </c>
      <c r="AP30" s="33">
        <f>I30*(1-0.0265728800312622)</f>
        <v>0</v>
      </c>
      <c r="AQ30" s="56" t="s">
        <v>396</v>
      </c>
      <c r="AV30" s="33">
        <f t="shared" si="14"/>
        <v>0</v>
      </c>
      <c r="AW30" s="33">
        <f t="shared" si="15"/>
        <v>0</v>
      </c>
      <c r="AX30" s="33">
        <f t="shared" si="16"/>
        <v>0</v>
      </c>
      <c r="AY30" s="56" t="s">
        <v>68</v>
      </c>
      <c r="AZ30" s="56" t="s">
        <v>22</v>
      </c>
      <c r="BA30" s="21" t="s">
        <v>306</v>
      </c>
      <c r="BC30" s="33">
        <f t="shared" si="17"/>
        <v>0</v>
      </c>
      <c r="BD30" s="33">
        <f t="shared" si="18"/>
        <v>0</v>
      </c>
      <c r="BE30" s="33">
        <v>0</v>
      </c>
      <c r="BF30" s="33">
        <f>30</f>
        <v>30</v>
      </c>
      <c r="BH30" s="33">
        <f t="shared" si="19"/>
        <v>0</v>
      </c>
      <c r="BI30" s="33">
        <f t="shared" si="20"/>
        <v>0</v>
      </c>
      <c r="BJ30" s="33">
        <f t="shared" si="21"/>
        <v>0</v>
      </c>
      <c r="BK30" s="33"/>
      <c r="BL30" s="33">
        <v>721</v>
      </c>
    </row>
    <row r="31" spans="1:64" ht="15" customHeight="1">
      <c r="A31" s="9" t="s">
        <v>227</v>
      </c>
      <c r="B31" s="1" t="s">
        <v>47</v>
      </c>
      <c r="C31" s="62" t="s">
        <v>308</v>
      </c>
      <c r="D31" s="62"/>
      <c r="E31" s="62"/>
      <c r="F31" s="62"/>
      <c r="G31" s="1" t="s">
        <v>354</v>
      </c>
      <c r="H31" s="33">
        <v>2</v>
      </c>
      <c r="I31" s="33">
        <v>0</v>
      </c>
      <c r="J31" s="33">
        <f t="shared" si="0"/>
        <v>0</v>
      </c>
      <c r="K31" s="33">
        <f t="shared" si="1"/>
        <v>0</v>
      </c>
      <c r="L31" s="33">
        <f t="shared" si="2"/>
        <v>0</v>
      </c>
      <c r="M31" s="26" t="s">
        <v>157</v>
      </c>
      <c r="Z31" s="33">
        <f t="shared" si="3"/>
        <v>0</v>
      </c>
      <c r="AB31" s="33">
        <f t="shared" si="4"/>
        <v>0</v>
      </c>
      <c r="AC31" s="33">
        <f t="shared" si="5"/>
        <v>0</v>
      </c>
      <c r="AD31" s="33">
        <f t="shared" si="6"/>
        <v>0</v>
      </c>
      <c r="AE31" s="33">
        <f t="shared" si="7"/>
        <v>0</v>
      </c>
      <c r="AF31" s="33">
        <f t="shared" si="8"/>
        <v>0</v>
      </c>
      <c r="AG31" s="33">
        <f t="shared" si="9"/>
        <v>0</v>
      </c>
      <c r="AH31" s="33">
        <f t="shared" si="10"/>
        <v>0</v>
      </c>
      <c r="AI31" s="21" t="s">
        <v>284</v>
      </c>
      <c r="AJ31" s="33">
        <f t="shared" si="11"/>
        <v>0</v>
      </c>
      <c r="AK31" s="33">
        <f t="shared" si="12"/>
        <v>0</v>
      </c>
      <c r="AL31" s="33">
        <f t="shared" si="13"/>
        <v>0</v>
      </c>
      <c r="AN31" s="33">
        <v>21</v>
      </c>
      <c r="AO31" s="33">
        <f>I31*0</f>
        <v>0</v>
      </c>
      <c r="AP31" s="33">
        <f>I31*(1-0)</f>
        <v>0</v>
      </c>
      <c r="AQ31" s="56" t="s">
        <v>212</v>
      </c>
      <c r="AV31" s="33">
        <f t="shared" si="14"/>
        <v>0</v>
      </c>
      <c r="AW31" s="33">
        <f t="shared" si="15"/>
        <v>0</v>
      </c>
      <c r="AX31" s="33">
        <f t="shared" si="16"/>
        <v>0</v>
      </c>
      <c r="AY31" s="56" t="s">
        <v>68</v>
      </c>
      <c r="AZ31" s="56" t="s">
        <v>22</v>
      </c>
      <c r="BA31" s="21" t="s">
        <v>306</v>
      </c>
      <c r="BC31" s="33">
        <f t="shared" si="17"/>
        <v>0</v>
      </c>
      <c r="BD31" s="33">
        <f t="shared" si="18"/>
        <v>0</v>
      </c>
      <c r="BE31" s="33">
        <v>0</v>
      </c>
      <c r="BF31" s="33">
        <f>31</f>
        <v>31</v>
      </c>
      <c r="BH31" s="33">
        <f t="shared" si="19"/>
        <v>0</v>
      </c>
      <c r="BI31" s="33">
        <f t="shared" si="20"/>
        <v>0</v>
      </c>
      <c r="BJ31" s="33">
        <f t="shared" si="21"/>
        <v>0</v>
      </c>
      <c r="BK31" s="33"/>
      <c r="BL31" s="33">
        <v>721</v>
      </c>
    </row>
    <row r="32" spans="1:47" ht="15" customHeight="1">
      <c r="A32" s="30" t="s">
        <v>284</v>
      </c>
      <c r="B32" s="42" t="s">
        <v>363</v>
      </c>
      <c r="C32" s="78" t="s">
        <v>245</v>
      </c>
      <c r="D32" s="78"/>
      <c r="E32" s="78"/>
      <c r="F32" s="78"/>
      <c r="G32" s="53" t="s">
        <v>368</v>
      </c>
      <c r="H32" s="53" t="s">
        <v>368</v>
      </c>
      <c r="I32" s="53" t="s">
        <v>368</v>
      </c>
      <c r="J32" s="14">
        <f>SUM(J33:J50)</f>
        <v>0</v>
      </c>
      <c r="K32" s="14">
        <f>SUM(K33:K50)</f>
        <v>0</v>
      </c>
      <c r="L32" s="14">
        <f>SUM(L33:L50)</f>
        <v>0</v>
      </c>
      <c r="M32" s="55" t="s">
        <v>284</v>
      </c>
      <c r="AI32" s="21" t="s">
        <v>284</v>
      </c>
      <c r="AS32" s="14">
        <f>SUM(AJ33:AJ50)</f>
        <v>0</v>
      </c>
      <c r="AT32" s="14">
        <f>SUM(AK33:AK50)</f>
        <v>0</v>
      </c>
      <c r="AU32" s="14">
        <f>SUM(AL33:AL50)</f>
        <v>0</v>
      </c>
    </row>
    <row r="33" spans="1:64" ht="15" customHeight="1">
      <c r="A33" s="9" t="s">
        <v>339</v>
      </c>
      <c r="B33" s="1" t="s">
        <v>331</v>
      </c>
      <c r="C33" s="62" t="s">
        <v>213</v>
      </c>
      <c r="D33" s="62"/>
      <c r="E33" s="62"/>
      <c r="F33" s="62"/>
      <c r="G33" s="1" t="s">
        <v>335</v>
      </c>
      <c r="H33" s="33">
        <v>7</v>
      </c>
      <c r="I33" s="33">
        <v>0</v>
      </c>
      <c r="J33" s="33">
        <f aca="true" t="shared" si="22" ref="J33:J38">H33*AO33</f>
        <v>0</v>
      </c>
      <c r="K33" s="33">
        <f aca="true" t="shared" si="23" ref="K33:K38">H33*AP33</f>
        <v>0</v>
      </c>
      <c r="L33" s="33">
        <f aca="true" t="shared" si="24" ref="L33:L38">H33*I33</f>
        <v>0</v>
      </c>
      <c r="M33" s="26" t="s">
        <v>340</v>
      </c>
      <c r="Z33" s="33">
        <f aca="true" t="shared" si="25" ref="Z33:Z38">IF(AQ33="5",BJ33,0)</f>
        <v>0</v>
      </c>
      <c r="AB33" s="33">
        <f aca="true" t="shared" si="26" ref="AB33:AB38">IF(AQ33="1",BH33,0)</f>
        <v>0</v>
      </c>
      <c r="AC33" s="33">
        <f aca="true" t="shared" si="27" ref="AC33:AC38">IF(AQ33="1",BI33,0)</f>
        <v>0</v>
      </c>
      <c r="AD33" s="33">
        <f aca="true" t="shared" si="28" ref="AD33:AD38">IF(AQ33="7",BH33,0)</f>
        <v>0</v>
      </c>
      <c r="AE33" s="33">
        <f aca="true" t="shared" si="29" ref="AE33:AE38">IF(AQ33="7",BI33,0)</f>
        <v>0</v>
      </c>
      <c r="AF33" s="33">
        <f aca="true" t="shared" si="30" ref="AF33:AF38">IF(AQ33="2",BH33,0)</f>
        <v>0</v>
      </c>
      <c r="AG33" s="33">
        <f aca="true" t="shared" si="31" ref="AG33:AG38">IF(AQ33="2",BI33,0)</f>
        <v>0</v>
      </c>
      <c r="AH33" s="33">
        <f aca="true" t="shared" si="32" ref="AH33:AH38">IF(AQ33="0",BJ33,0)</f>
        <v>0</v>
      </c>
      <c r="AI33" s="21" t="s">
        <v>284</v>
      </c>
      <c r="AJ33" s="33">
        <f aca="true" t="shared" si="33" ref="AJ33:AJ38">IF(AN33=0,L33,0)</f>
        <v>0</v>
      </c>
      <c r="AK33" s="33">
        <f aca="true" t="shared" si="34" ref="AK33:AK38">IF(AN33=15,L33,0)</f>
        <v>0</v>
      </c>
      <c r="AL33" s="33">
        <f aca="true" t="shared" si="35" ref="AL33:AL38">IF(AN33=21,L33,0)</f>
        <v>0</v>
      </c>
      <c r="AN33" s="33">
        <v>21</v>
      </c>
      <c r="AO33" s="33">
        <f>I33*0.276816976127321</f>
        <v>0</v>
      </c>
      <c r="AP33" s="33">
        <f>I33*(1-0.276816976127321)</f>
        <v>0</v>
      </c>
      <c r="AQ33" s="56" t="s">
        <v>396</v>
      </c>
      <c r="AV33" s="33">
        <f aca="true" t="shared" si="36" ref="AV33:AV38">AW33+AX33</f>
        <v>0</v>
      </c>
      <c r="AW33" s="33">
        <f aca="true" t="shared" si="37" ref="AW33:AW38">H33*AO33</f>
        <v>0</v>
      </c>
      <c r="AX33" s="33">
        <f aca="true" t="shared" si="38" ref="AX33:AX38">H33*AP33</f>
        <v>0</v>
      </c>
      <c r="AY33" s="56" t="s">
        <v>252</v>
      </c>
      <c r="AZ33" s="56" t="s">
        <v>22</v>
      </c>
      <c r="BA33" s="21" t="s">
        <v>306</v>
      </c>
      <c r="BC33" s="33">
        <f aca="true" t="shared" si="39" ref="BC33:BC38">AW33+AX33</f>
        <v>0</v>
      </c>
      <c r="BD33" s="33">
        <f aca="true" t="shared" si="40" ref="BD33:BD38">I33/(100-BE33)*100</f>
        <v>0</v>
      </c>
      <c r="BE33" s="33">
        <v>0</v>
      </c>
      <c r="BF33" s="33">
        <f>33</f>
        <v>33</v>
      </c>
      <c r="BH33" s="33">
        <f aca="true" t="shared" si="41" ref="BH33:BH38">H33*AO33</f>
        <v>0</v>
      </c>
      <c r="BI33" s="33">
        <f aca="true" t="shared" si="42" ref="BI33:BI38">H33*AP33</f>
        <v>0</v>
      </c>
      <c r="BJ33" s="33">
        <f aca="true" t="shared" si="43" ref="BJ33:BJ38">H33*I33</f>
        <v>0</v>
      </c>
      <c r="BK33" s="33"/>
      <c r="BL33" s="33">
        <v>722</v>
      </c>
    </row>
    <row r="34" spans="1:64" ht="15" customHeight="1">
      <c r="A34" s="9" t="s">
        <v>295</v>
      </c>
      <c r="B34" s="1" t="s">
        <v>61</v>
      </c>
      <c r="C34" s="62" t="s">
        <v>211</v>
      </c>
      <c r="D34" s="62"/>
      <c r="E34" s="62"/>
      <c r="F34" s="62"/>
      <c r="G34" s="1" t="s">
        <v>335</v>
      </c>
      <c r="H34" s="33">
        <v>14</v>
      </c>
      <c r="I34" s="33">
        <v>0</v>
      </c>
      <c r="J34" s="33">
        <f t="shared" si="22"/>
        <v>0</v>
      </c>
      <c r="K34" s="33">
        <f t="shared" si="23"/>
        <v>0</v>
      </c>
      <c r="L34" s="33">
        <f t="shared" si="24"/>
        <v>0</v>
      </c>
      <c r="M34" s="26" t="s">
        <v>340</v>
      </c>
      <c r="Z34" s="33">
        <f t="shared" si="25"/>
        <v>0</v>
      </c>
      <c r="AB34" s="33">
        <f t="shared" si="26"/>
        <v>0</v>
      </c>
      <c r="AC34" s="33">
        <f t="shared" si="27"/>
        <v>0</v>
      </c>
      <c r="AD34" s="33">
        <f t="shared" si="28"/>
        <v>0</v>
      </c>
      <c r="AE34" s="33">
        <f t="shared" si="29"/>
        <v>0</v>
      </c>
      <c r="AF34" s="33">
        <f t="shared" si="30"/>
        <v>0</v>
      </c>
      <c r="AG34" s="33">
        <f t="shared" si="31"/>
        <v>0</v>
      </c>
      <c r="AH34" s="33">
        <f t="shared" si="32"/>
        <v>0</v>
      </c>
      <c r="AI34" s="21" t="s">
        <v>284</v>
      </c>
      <c r="AJ34" s="33">
        <f t="shared" si="33"/>
        <v>0</v>
      </c>
      <c r="AK34" s="33">
        <f t="shared" si="34"/>
        <v>0</v>
      </c>
      <c r="AL34" s="33">
        <f t="shared" si="35"/>
        <v>0</v>
      </c>
      <c r="AN34" s="33">
        <v>21</v>
      </c>
      <c r="AO34" s="33">
        <f>I34*0.309734131012289</f>
        <v>0</v>
      </c>
      <c r="AP34" s="33">
        <f>I34*(1-0.309734131012289)</f>
        <v>0</v>
      </c>
      <c r="AQ34" s="56" t="s">
        <v>396</v>
      </c>
      <c r="AV34" s="33">
        <f t="shared" si="36"/>
        <v>0</v>
      </c>
      <c r="AW34" s="33">
        <f t="shared" si="37"/>
        <v>0</v>
      </c>
      <c r="AX34" s="33">
        <f t="shared" si="38"/>
        <v>0</v>
      </c>
      <c r="AY34" s="56" t="s">
        <v>252</v>
      </c>
      <c r="AZ34" s="56" t="s">
        <v>22</v>
      </c>
      <c r="BA34" s="21" t="s">
        <v>306</v>
      </c>
      <c r="BC34" s="33">
        <f t="shared" si="39"/>
        <v>0</v>
      </c>
      <c r="BD34" s="33">
        <f t="shared" si="40"/>
        <v>0</v>
      </c>
      <c r="BE34" s="33">
        <v>0</v>
      </c>
      <c r="BF34" s="33">
        <f>34</f>
        <v>34</v>
      </c>
      <c r="BH34" s="33">
        <f t="shared" si="41"/>
        <v>0</v>
      </c>
      <c r="BI34" s="33">
        <f t="shared" si="42"/>
        <v>0</v>
      </c>
      <c r="BJ34" s="33">
        <f t="shared" si="43"/>
        <v>0</v>
      </c>
      <c r="BK34" s="33"/>
      <c r="BL34" s="33">
        <v>722</v>
      </c>
    </row>
    <row r="35" spans="1:64" ht="15" customHeight="1">
      <c r="A35" s="9" t="s">
        <v>127</v>
      </c>
      <c r="B35" s="1" t="s">
        <v>276</v>
      </c>
      <c r="C35" s="62" t="s">
        <v>66</v>
      </c>
      <c r="D35" s="62"/>
      <c r="E35" s="62"/>
      <c r="F35" s="62"/>
      <c r="G35" s="1" t="s">
        <v>112</v>
      </c>
      <c r="H35" s="33">
        <v>2</v>
      </c>
      <c r="I35" s="33">
        <v>0</v>
      </c>
      <c r="J35" s="33">
        <f t="shared" si="22"/>
        <v>0</v>
      </c>
      <c r="K35" s="33">
        <f t="shared" si="23"/>
        <v>0</v>
      </c>
      <c r="L35" s="33">
        <f t="shared" si="24"/>
        <v>0</v>
      </c>
      <c r="M35" s="26" t="s">
        <v>157</v>
      </c>
      <c r="Z35" s="33">
        <f t="shared" si="25"/>
        <v>0</v>
      </c>
      <c r="AB35" s="33">
        <f t="shared" si="26"/>
        <v>0</v>
      </c>
      <c r="AC35" s="33">
        <f t="shared" si="27"/>
        <v>0</v>
      </c>
      <c r="AD35" s="33">
        <f t="shared" si="28"/>
        <v>0</v>
      </c>
      <c r="AE35" s="33">
        <f t="shared" si="29"/>
        <v>0</v>
      </c>
      <c r="AF35" s="33">
        <f t="shared" si="30"/>
        <v>0</v>
      </c>
      <c r="AG35" s="33">
        <f t="shared" si="31"/>
        <v>0</v>
      </c>
      <c r="AH35" s="33">
        <f t="shared" si="32"/>
        <v>0</v>
      </c>
      <c r="AI35" s="21" t="s">
        <v>284</v>
      </c>
      <c r="AJ35" s="33">
        <f t="shared" si="33"/>
        <v>0</v>
      </c>
      <c r="AK35" s="33">
        <f t="shared" si="34"/>
        <v>0</v>
      </c>
      <c r="AL35" s="33">
        <f t="shared" si="35"/>
        <v>0</v>
      </c>
      <c r="AN35" s="33">
        <v>21</v>
      </c>
      <c r="AO35" s="33">
        <f>I35*0</f>
        <v>0</v>
      </c>
      <c r="AP35" s="33">
        <f>I35*(1-0)</f>
        <v>0</v>
      </c>
      <c r="AQ35" s="56" t="s">
        <v>396</v>
      </c>
      <c r="AV35" s="33">
        <f t="shared" si="36"/>
        <v>0</v>
      </c>
      <c r="AW35" s="33">
        <f t="shared" si="37"/>
        <v>0</v>
      </c>
      <c r="AX35" s="33">
        <f t="shared" si="38"/>
        <v>0</v>
      </c>
      <c r="AY35" s="56" t="s">
        <v>252</v>
      </c>
      <c r="AZ35" s="56" t="s">
        <v>22</v>
      </c>
      <c r="BA35" s="21" t="s">
        <v>306</v>
      </c>
      <c r="BC35" s="33">
        <f t="shared" si="39"/>
        <v>0</v>
      </c>
      <c r="BD35" s="33">
        <f t="shared" si="40"/>
        <v>0</v>
      </c>
      <c r="BE35" s="33">
        <v>0</v>
      </c>
      <c r="BF35" s="33">
        <f>35</f>
        <v>35</v>
      </c>
      <c r="BH35" s="33">
        <f t="shared" si="41"/>
        <v>0</v>
      </c>
      <c r="BI35" s="33">
        <f t="shared" si="42"/>
        <v>0</v>
      </c>
      <c r="BJ35" s="33">
        <f t="shared" si="43"/>
        <v>0</v>
      </c>
      <c r="BK35" s="33"/>
      <c r="BL35" s="33">
        <v>722</v>
      </c>
    </row>
    <row r="36" spans="1:64" ht="15" customHeight="1">
      <c r="A36" s="9" t="s">
        <v>233</v>
      </c>
      <c r="B36" s="1" t="s">
        <v>46</v>
      </c>
      <c r="C36" s="62" t="s">
        <v>31</v>
      </c>
      <c r="D36" s="62"/>
      <c r="E36" s="62"/>
      <c r="F36" s="62"/>
      <c r="G36" s="1" t="s">
        <v>112</v>
      </c>
      <c r="H36" s="33">
        <v>2</v>
      </c>
      <c r="I36" s="33">
        <v>0</v>
      </c>
      <c r="J36" s="33">
        <f t="shared" si="22"/>
        <v>0</v>
      </c>
      <c r="K36" s="33">
        <f t="shared" si="23"/>
        <v>0</v>
      </c>
      <c r="L36" s="33">
        <f t="shared" si="24"/>
        <v>0</v>
      </c>
      <c r="M36" s="26" t="s">
        <v>157</v>
      </c>
      <c r="Z36" s="33">
        <f t="shared" si="25"/>
        <v>0</v>
      </c>
      <c r="AB36" s="33">
        <f t="shared" si="26"/>
        <v>0</v>
      </c>
      <c r="AC36" s="33">
        <f t="shared" si="27"/>
        <v>0</v>
      </c>
      <c r="AD36" s="33">
        <f t="shared" si="28"/>
        <v>0</v>
      </c>
      <c r="AE36" s="33">
        <f t="shared" si="29"/>
        <v>0</v>
      </c>
      <c r="AF36" s="33">
        <f t="shared" si="30"/>
        <v>0</v>
      </c>
      <c r="AG36" s="33">
        <f t="shared" si="31"/>
        <v>0</v>
      </c>
      <c r="AH36" s="33">
        <f t="shared" si="32"/>
        <v>0</v>
      </c>
      <c r="AI36" s="21" t="s">
        <v>284</v>
      </c>
      <c r="AJ36" s="33">
        <f t="shared" si="33"/>
        <v>0</v>
      </c>
      <c r="AK36" s="33">
        <f t="shared" si="34"/>
        <v>0</v>
      </c>
      <c r="AL36" s="33">
        <f t="shared" si="35"/>
        <v>0</v>
      </c>
      <c r="AN36" s="33">
        <v>21</v>
      </c>
      <c r="AO36" s="33">
        <f>I36*0.0865853658536585</f>
        <v>0</v>
      </c>
      <c r="AP36" s="33">
        <f>I36*(1-0.0865853658536585)</f>
        <v>0</v>
      </c>
      <c r="AQ36" s="56" t="s">
        <v>396</v>
      </c>
      <c r="AV36" s="33">
        <f t="shared" si="36"/>
        <v>0</v>
      </c>
      <c r="AW36" s="33">
        <f t="shared" si="37"/>
        <v>0</v>
      </c>
      <c r="AX36" s="33">
        <f t="shared" si="38"/>
        <v>0</v>
      </c>
      <c r="AY36" s="56" t="s">
        <v>252</v>
      </c>
      <c r="AZ36" s="56" t="s">
        <v>22</v>
      </c>
      <c r="BA36" s="21" t="s">
        <v>306</v>
      </c>
      <c r="BC36" s="33">
        <f t="shared" si="39"/>
        <v>0</v>
      </c>
      <c r="BD36" s="33">
        <f t="shared" si="40"/>
        <v>0</v>
      </c>
      <c r="BE36" s="33">
        <v>0</v>
      </c>
      <c r="BF36" s="33">
        <f>36</f>
        <v>36</v>
      </c>
      <c r="BH36" s="33">
        <f t="shared" si="41"/>
        <v>0</v>
      </c>
      <c r="BI36" s="33">
        <f t="shared" si="42"/>
        <v>0</v>
      </c>
      <c r="BJ36" s="33">
        <f t="shared" si="43"/>
        <v>0</v>
      </c>
      <c r="BK36" s="33"/>
      <c r="BL36" s="33">
        <v>722</v>
      </c>
    </row>
    <row r="37" spans="1:64" ht="15" customHeight="1">
      <c r="A37" s="9" t="s">
        <v>159</v>
      </c>
      <c r="B37" s="1" t="s">
        <v>121</v>
      </c>
      <c r="C37" s="62" t="s">
        <v>310</v>
      </c>
      <c r="D37" s="62"/>
      <c r="E37" s="62"/>
      <c r="F37" s="62"/>
      <c r="G37" s="1" t="s">
        <v>112</v>
      </c>
      <c r="H37" s="33">
        <v>2</v>
      </c>
      <c r="I37" s="33">
        <v>0</v>
      </c>
      <c r="J37" s="33">
        <f t="shared" si="22"/>
        <v>0</v>
      </c>
      <c r="K37" s="33">
        <f t="shared" si="23"/>
        <v>0</v>
      </c>
      <c r="L37" s="33">
        <f t="shared" si="24"/>
        <v>0</v>
      </c>
      <c r="M37" s="26" t="s">
        <v>157</v>
      </c>
      <c r="Z37" s="33">
        <f t="shared" si="25"/>
        <v>0</v>
      </c>
      <c r="AB37" s="33">
        <f t="shared" si="26"/>
        <v>0</v>
      </c>
      <c r="AC37" s="33">
        <f t="shared" si="27"/>
        <v>0</v>
      </c>
      <c r="AD37" s="33">
        <f t="shared" si="28"/>
        <v>0</v>
      </c>
      <c r="AE37" s="33">
        <f t="shared" si="29"/>
        <v>0</v>
      </c>
      <c r="AF37" s="33">
        <f t="shared" si="30"/>
        <v>0</v>
      </c>
      <c r="AG37" s="33">
        <f t="shared" si="31"/>
        <v>0</v>
      </c>
      <c r="AH37" s="33">
        <f t="shared" si="32"/>
        <v>0</v>
      </c>
      <c r="AI37" s="21" t="s">
        <v>284</v>
      </c>
      <c r="AJ37" s="33">
        <f t="shared" si="33"/>
        <v>0</v>
      </c>
      <c r="AK37" s="33">
        <f t="shared" si="34"/>
        <v>0</v>
      </c>
      <c r="AL37" s="33">
        <f t="shared" si="35"/>
        <v>0</v>
      </c>
      <c r="AN37" s="33">
        <v>21</v>
      </c>
      <c r="AO37" s="33">
        <f>I37*0</f>
        <v>0</v>
      </c>
      <c r="AP37" s="33">
        <f>I37*(1-0)</f>
        <v>0</v>
      </c>
      <c r="AQ37" s="56" t="s">
        <v>396</v>
      </c>
      <c r="AV37" s="33">
        <f t="shared" si="36"/>
        <v>0</v>
      </c>
      <c r="AW37" s="33">
        <f t="shared" si="37"/>
        <v>0</v>
      </c>
      <c r="AX37" s="33">
        <f t="shared" si="38"/>
        <v>0</v>
      </c>
      <c r="AY37" s="56" t="s">
        <v>252</v>
      </c>
      <c r="AZ37" s="56" t="s">
        <v>22</v>
      </c>
      <c r="BA37" s="21" t="s">
        <v>306</v>
      </c>
      <c r="BC37" s="33">
        <f t="shared" si="39"/>
        <v>0</v>
      </c>
      <c r="BD37" s="33">
        <f t="shared" si="40"/>
        <v>0</v>
      </c>
      <c r="BE37" s="33">
        <v>0</v>
      </c>
      <c r="BF37" s="33">
        <f>37</f>
        <v>37</v>
      </c>
      <c r="BH37" s="33">
        <f t="shared" si="41"/>
        <v>0</v>
      </c>
      <c r="BI37" s="33">
        <f t="shared" si="42"/>
        <v>0</v>
      </c>
      <c r="BJ37" s="33">
        <f t="shared" si="43"/>
        <v>0</v>
      </c>
      <c r="BK37" s="33"/>
      <c r="BL37" s="33">
        <v>722</v>
      </c>
    </row>
    <row r="38" spans="1:64" ht="15" customHeight="1">
      <c r="A38" s="9" t="s">
        <v>40</v>
      </c>
      <c r="B38" s="1" t="s">
        <v>203</v>
      </c>
      <c r="C38" s="62" t="s">
        <v>21</v>
      </c>
      <c r="D38" s="62"/>
      <c r="E38" s="62"/>
      <c r="F38" s="62"/>
      <c r="G38" s="1" t="s">
        <v>335</v>
      </c>
      <c r="H38" s="33">
        <v>14</v>
      </c>
      <c r="I38" s="33">
        <v>0</v>
      </c>
      <c r="J38" s="33">
        <f t="shared" si="22"/>
        <v>0</v>
      </c>
      <c r="K38" s="33">
        <f t="shared" si="23"/>
        <v>0</v>
      </c>
      <c r="L38" s="33">
        <f t="shared" si="24"/>
        <v>0</v>
      </c>
      <c r="M38" s="26" t="s">
        <v>157</v>
      </c>
      <c r="Z38" s="33">
        <f t="shared" si="25"/>
        <v>0</v>
      </c>
      <c r="AB38" s="33">
        <f t="shared" si="26"/>
        <v>0</v>
      </c>
      <c r="AC38" s="33">
        <f t="shared" si="27"/>
        <v>0</v>
      </c>
      <c r="AD38" s="33">
        <f t="shared" si="28"/>
        <v>0</v>
      </c>
      <c r="AE38" s="33">
        <f t="shared" si="29"/>
        <v>0</v>
      </c>
      <c r="AF38" s="33">
        <f t="shared" si="30"/>
        <v>0</v>
      </c>
      <c r="AG38" s="33">
        <f t="shared" si="31"/>
        <v>0</v>
      </c>
      <c r="AH38" s="33">
        <f t="shared" si="32"/>
        <v>0</v>
      </c>
      <c r="AI38" s="21" t="s">
        <v>284</v>
      </c>
      <c r="AJ38" s="33">
        <f t="shared" si="33"/>
        <v>0</v>
      </c>
      <c r="AK38" s="33">
        <f t="shared" si="34"/>
        <v>0</v>
      </c>
      <c r="AL38" s="33">
        <f t="shared" si="35"/>
        <v>0</v>
      </c>
      <c r="AN38" s="33">
        <v>21</v>
      </c>
      <c r="AO38" s="33">
        <f>I38*0.220992366412214</f>
        <v>0</v>
      </c>
      <c r="AP38" s="33">
        <f>I38*(1-0.220992366412214)</f>
        <v>0</v>
      </c>
      <c r="AQ38" s="56" t="s">
        <v>396</v>
      </c>
      <c r="AV38" s="33">
        <f t="shared" si="36"/>
        <v>0</v>
      </c>
      <c r="AW38" s="33">
        <f t="shared" si="37"/>
        <v>0</v>
      </c>
      <c r="AX38" s="33">
        <f t="shared" si="38"/>
        <v>0</v>
      </c>
      <c r="AY38" s="56" t="s">
        <v>252</v>
      </c>
      <c r="AZ38" s="56" t="s">
        <v>22</v>
      </c>
      <c r="BA38" s="21" t="s">
        <v>306</v>
      </c>
      <c r="BC38" s="33">
        <f t="shared" si="39"/>
        <v>0</v>
      </c>
      <c r="BD38" s="33">
        <f t="shared" si="40"/>
        <v>0</v>
      </c>
      <c r="BE38" s="33">
        <v>0</v>
      </c>
      <c r="BF38" s="33">
        <f>38</f>
        <v>38</v>
      </c>
      <c r="BH38" s="33">
        <f t="shared" si="41"/>
        <v>0</v>
      </c>
      <c r="BI38" s="33">
        <f t="shared" si="42"/>
        <v>0</v>
      </c>
      <c r="BJ38" s="33">
        <f t="shared" si="43"/>
        <v>0</v>
      </c>
      <c r="BK38" s="33"/>
      <c r="BL38" s="33">
        <v>722</v>
      </c>
    </row>
    <row r="39" spans="1:13" ht="15" customHeight="1">
      <c r="A39" s="46"/>
      <c r="C39" s="29" t="s">
        <v>141</v>
      </c>
      <c r="F39" s="29" t="s">
        <v>284</v>
      </c>
      <c r="H39" s="8">
        <v>14.000000000000002</v>
      </c>
      <c r="M39" s="38"/>
    </row>
    <row r="40" spans="1:64" ht="15" customHeight="1">
      <c r="A40" s="9" t="s">
        <v>285</v>
      </c>
      <c r="B40" s="1" t="s">
        <v>215</v>
      </c>
      <c r="C40" s="62" t="s">
        <v>56</v>
      </c>
      <c r="D40" s="62"/>
      <c r="E40" s="62"/>
      <c r="F40" s="62"/>
      <c r="G40" s="1" t="s">
        <v>112</v>
      </c>
      <c r="H40" s="33">
        <v>2</v>
      </c>
      <c r="I40" s="33">
        <v>0</v>
      </c>
      <c r="J40" s="33">
        <f>H40*AO40</f>
        <v>0</v>
      </c>
      <c r="K40" s="33">
        <f>H40*AP40</f>
        <v>0</v>
      </c>
      <c r="L40" s="33">
        <f>H40*I40</f>
        <v>0</v>
      </c>
      <c r="M40" s="26" t="s">
        <v>157</v>
      </c>
      <c r="Z40" s="33">
        <f>IF(AQ40="5",BJ40,0)</f>
        <v>0</v>
      </c>
      <c r="AB40" s="33">
        <f>IF(AQ40="1",BH40,0)</f>
        <v>0</v>
      </c>
      <c r="AC40" s="33">
        <f>IF(AQ40="1",BI40,0)</f>
        <v>0</v>
      </c>
      <c r="AD40" s="33">
        <f>IF(AQ40="7",BH40,0)</f>
        <v>0</v>
      </c>
      <c r="AE40" s="33">
        <f>IF(AQ40="7",BI40,0)</f>
        <v>0</v>
      </c>
      <c r="AF40" s="33">
        <f>IF(AQ40="2",BH40,0)</f>
        <v>0</v>
      </c>
      <c r="AG40" s="33">
        <f>IF(AQ40="2",BI40,0)</f>
        <v>0</v>
      </c>
      <c r="AH40" s="33">
        <f>IF(AQ40="0",BJ40,0)</f>
        <v>0</v>
      </c>
      <c r="AI40" s="21" t="s">
        <v>284</v>
      </c>
      <c r="AJ40" s="33">
        <f>IF(AN40=0,L40,0)</f>
        <v>0</v>
      </c>
      <c r="AK40" s="33">
        <f>IF(AN40=15,L40,0)</f>
        <v>0</v>
      </c>
      <c r="AL40" s="33">
        <f>IF(AN40=21,L40,0)</f>
        <v>0</v>
      </c>
      <c r="AN40" s="33">
        <v>21</v>
      </c>
      <c r="AO40" s="33">
        <f>I40*0</f>
        <v>0</v>
      </c>
      <c r="AP40" s="33">
        <f>I40*(1-0)</f>
        <v>0</v>
      </c>
      <c r="AQ40" s="56" t="s">
        <v>396</v>
      </c>
      <c r="AV40" s="33">
        <f>AW40+AX40</f>
        <v>0</v>
      </c>
      <c r="AW40" s="33">
        <f>H40*AO40</f>
        <v>0</v>
      </c>
      <c r="AX40" s="33">
        <f>H40*AP40</f>
        <v>0</v>
      </c>
      <c r="AY40" s="56" t="s">
        <v>252</v>
      </c>
      <c r="AZ40" s="56" t="s">
        <v>22</v>
      </c>
      <c r="BA40" s="21" t="s">
        <v>306</v>
      </c>
      <c r="BC40" s="33">
        <f>AW40+AX40</f>
        <v>0</v>
      </c>
      <c r="BD40" s="33">
        <f>I40/(100-BE40)*100</f>
        <v>0</v>
      </c>
      <c r="BE40" s="33">
        <v>0</v>
      </c>
      <c r="BF40" s="33">
        <f>40</f>
        <v>40</v>
      </c>
      <c r="BH40" s="33">
        <f>H40*AO40</f>
        <v>0</v>
      </c>
      <c r="BI40" s="33">
        <f>H40*AP40</f>
        <v>0</v>
      </c>
      <c r="BJ40" s="33">
        <f>H40*I40</f>
        <v>0</v>
      </c>
      <c r="BK40" s="33"/>
      <c r="BL40" s="33">
        <v>722</v>
      </c>
    </row>
    <row r="41" spans="1:64" ht="15" customHeight="1">
      <c r="A41" s="9" t="s">
        <v>322</v>
      </c>
      <c r="B41" s="1" t="s">
        <v>244</v>
      </c>
      <c r="C41" s="62" t="s">
        <v>196</v>
      </c>
      <c r="D41" s="62"/>
      <c r="E41" s="62"/>
      <c r="F41" s="62"/>
      <c r="G41" s="1" t="s">
        <v>335</v>
      </c>
      <c r="H41" s="33">
        <v>21</v>
      </c>
      <c r="I41" s="33">
        <v>0</v>
      </c>
      <c r="J41" s="33">
        <f>H41*AO41</f>
        <v>0</v>
      </c>
      <c r="K41" s="33">
        <f>H41*AP41</f>
        <v>0</v>
      </c>
      <c r="L41" s="33">
        <f>H41*I41</f>
        <v>0</v>
      </c>
      <c r="M41" s="26" t="s">
        <v>157</v>
      </c>
      <c r="Z41" s="33">
        <f>IF(AQ41="5",BJ41,0)</f>
        <v>0</v>
      </c>
      <c r="AB41" s="33">
        <f>IF(AQ41="1",BH41,0)</f>
        <v>0</v>
      </c>
      <c r="AC41" s="33">
        <f>IF(AQ41="1",BI41,0)</f>
        <v>0</v>
      </c>
      <c r="AD41" s="33">
        <f>IF(AQ41="7",BH41,0)</f>
        <v>0</v>
      </c>
      <c r="AE41" s="33">
        <f>IF(AQ41="7",BI41,0)</f>
        <v>0</v>
      </c>
      <c r="AF41" s="33">
        <f>IF(AQ41="2",BH41,0)</f>
        <v>0</v>
      </c>
      <c r="AG41" s="33">
        <f>IF(AQ41="2",BI41,0)</f>
        <v>0</v>
      </c>
      <c r="AH41" s="33">
        <f>IF(AQ41="0",BJ41,0)</f>
        <v>0</v>
      </c>
      <c r="AI41" s="21" t="s">
        <v>284</v>
      </c>
      <c r="AJ41" s="33">
        <f>IF(AN41=0,L41,0)</f>
        <v>0</v>
      </c>
      <c r="AK41" s="33">
        <f>IF(AN41=15,L41,0)</f>
        <v>0</v>
      </c>
      <c r="AL41" s="33">
        <f>IF(AN41=21,L41,0)</f>
        <v>0</v>
      </c>
      <c r="AN41" s="33">
        <v>21</v>
      </c>
      <c r="AO41" s="33">
        <f>I41*0.305018587360595</f>
        <v>0</v>
      </c>
      <c r="AP41" s="33">
        <f>I41*(1-0.305018587360595)</f>
        <v>0</v>
      </c>
      <c r="AQ41" s="56" t="s">
        <v>396</v>
      </c>
      <c r="AV41" s="33">
        <f>AW41+AX41</f>
        <v>0</v>
      </c>
      <c r="AW41" s="33">
        <f>H41*AO41</f>
        <v>0</v>
      </c>
      <c r="AX41" s="33">
        <f>H41*AP41</f>
        <v>0</v>
      </c>
      <c r="AY41" s="56" t="s">
        <v>252</v>
      </c>
      <c r="AZ41" s="56" t="s">
        <v>22</v>
      </c>
      <c r="BA41" s="21" t="s">
        <v>306</v>
      </c>
      <c r="BC41" s="33">
        <f>AW41+AX41</f>
        <v>0</v>
      </c>
      <c r="BD41" s="33">
        <f>I41/(100-BE41)*100</f>
        <v>0</v>
      </c>
      <c r="BE41" s="33">
        <v>0</v>
      </c>
      <c r="BF41" s="33">
        <f>41</f>
        <v>41</v>
      </c>
      <c r="BH41" s="33">
        <f>H41*AO41</f>
        <v>0</v>
      </c>
      <c r="BI41" s="33">
        <f>H41*AP41</f>
        <v>0</v>
      </c>
      <c r="BJ41" s="33">
        <f>H41*I41</f>
        <v>0</v>
      </c>
      <c r="BK41" s="33"/>
      <c r="BL41" s="33">
        <v>722</v>
      </c>
    </row>
    <row r="42" spans="1:13" ht="15" customHeight="1">
      <c r="A42" s="46"/>
      <c r="C42" s="29" t="s">
        <v>428</v>
      </c>
      <c r="F42" s="29" t="s">
        <v>284</v>
      </c>
      <c r="H42" s="8">
        <v>21</v>
      </c>
      <c r="M42" s="38"/>
    </row>
    <row r="43" spans="1:64" ht="15" customHeight="1">
      <c r="A43" s="9" t="s">
        <v>253</v>
      </c>
      <c r="B43" s="1" t="s">
        <v>71</v>
      </c>
      <c r="C43" s="62" t="s">
        <v>330</v>
      </c>
      <c r="D43" s="62"/>
      <c r="E43" s="62"/>
      <c r="F43" s="62"/>
      <c r="G43" s="1" t="s">
        <v>335</v>
      </c>
      <c r="H43" s="33">
        <v>21</v>
      </c>
      <c r="I43" s="33">
        <v>0</v>
      </c>
      <c r="J43" s="33">
        <f>H43*AO43</f>
        <v>0</v>
      </c>
      <c r="K43" s="33">
        <f>H43*AP43</f>
        <v>0</v>
      </c>
      <c r="L43" s="33">
        <f>H43*I43</f>
        <v>0</v>
      </c>
      <c r="M43" s="26" t="s">
        <v>157</v>
      </c>
      <c r="Z43" s="33">
        <f>IF(AQ43="5",BJ43,0)</f>
        <v>0</v>
      </c>
      <c r="AB43" s="33">
        <f>IF(AQ43="1",BH43,0)</f>
        <v>0</v>
      </c>
      <c r="AC43" s="33">
        <f>IF(AQ43="1",BI43,0)</f>
        <v>0</v>
      </c>
      <c r="AD43" s="33">
        <f>IF(AQ43="7",BH43,0)</f>
        <v>0</v>
      </c>
      <c r="AE43" s="33">
        <f>IF(AQ43="7",BI43,0)</f>
        <v>0</v>
      </c>
      <c r="AF43" s="33">
        <f>IF(AQ43="2",BH43,0)</f>
        <v>0</v>
      </c>
      <c r="AG43" s="33">
        <f>IF(AQ43="2",BI43,0)</f>
        <v>0</v>
      </c>
      <c r="AH43" s="33">
        <f>IF(AQ43="0",BJ43,0)</f>
        <v>0</v>
      </c>
      <c r="AI43" s="21" t="s">
        <v>284</v>
      </c>
      <c r="AJ43" s="33">
        <f>IF(AN43=0,L43,0)</f>
        <v>0</v>
      </c>
      <c r="AK43" s="33">
        <f>IF(AN43=15,L43,0)</f>
        <v>0</v>
      </c>
      <c r="AL43" s="33">
        <f>IF(AN43=21,L43,0)</f>
        <v>0</v>
      </c>
      <c r="AN43" s="33">
        <v>21</v>
      </c>
      <c r="AO43" s="33">
        <f>I43*0.0501622897609914</f>
        <v>0</v>
      </c>
      <c r="AP43" s="33">
        <f>I43*(1-0.0501622897609914)</f>
        <v>0</v>
      </c>
      <c r="AQ43" s="56" t="s">
        <v>396</v>
      </c>
      <c r="AV43" s="33">
        <f>AW43+AX43</f>
        <v>0</v>
      </c>
      <c r="AW43" s="33">
        <f>H43*AO43</f>
        <v>0</v>
      </c>
      <c r="AX43" s="33">
        <f>H43*AP43</f>
        <v>0</v>
      </c>
      <c r="AY43" s="56" t="s">
        <v>252</v>
      </c>
      <c r="AZ43" s="56" t="s">
        <v>22</v>
      </c>
      <c r="BA43" s="21" t="s">
        <v>306</v>
      </c>
      <c r="BC43" s="33">
        <f>AW43+AX43</f>
        <v>0</v>
      </c>
      <c r="BD43" s="33">
        <f>I43/(100-BE43)*100</f>
        <v>0</v>
      </c>
      <c r="BE43" s="33">
        <v>0</v>
      </c>
      <c r="BF43" s="33">
        <f>43</f>
        <v>43</v>
      </c>
      <c r="BH43" s="33">
        <f>H43*AO43</f>
        <v>0</v>
      </c>
      <c r="BI43" s="33">
        <f>H43*AP43</f>
        <v>0</v>
      </c>
      <c r="BJ43" s="33">
        <f>H43*I43</f>
        <v>0</v>
      </c>
      <c r="BK43" s="33"/>
      <c r="BL43" s="33">
        <v>722</v>
      </c>
    </row>
    <row r="44" spans="1:13" ht="15" customHeight="1">
      <c r="A44" s="46"/>
      <c r="C44" s="29" t="s">
        <v>428</v>
      </c>
      <c r="F44" s="29" t="s">
        <v>284</v>
      </c>
      <c r="H44" s="8">
        <v>21</v>
      </c>
      <c r="M44" s="38"/>
    </row>
    <row r="45" spans="1:64" ht="15" customHeight="1">
      <c r="A45" s="9" t="s">
        <v>10</v>
      </c>
      <c r="B45" s="1" t="s">
        <v>199</v>
      </c>
      <c r="C45" s="62" t="s">
        <v>110</v>
      </c>
      <c r="D45" s="62"/>
      <c r="E45" s="62"/>
      <c r="F45" s="62"/>
      <c r="G45" s="1" t="s">
        <v>112</v>
      </c>
      <c r="H45" s="33">
        <v>2</v>
      </c>
      <c r="I45" s="33">
        <v>0</v>
      </c>
      <c r="J45" s="33">
        <f aca="true" t="shared" si="44" ref="J45:J50">H45*AO45</f>
        <v>0</v>
      </c>
      <c r="K45" s="33">
        <f aca="true" t="shared" si="45" ref="K45:K50">H45*AP45</f>
        <v>0</v>
      </c>
      <c r="L45" s="33">
        <f aca="true" t="shared" si="46" ref="L45:L50">H45*I45</f>
        <v>0</v>
      </c>
      <c r="M45" s="26" t="s">
        <v>157</v>
      </c>
      <c r="Z45" s="33">
        <f aca="true" t="shared" si="47" ref="Z45:Z50">IF(AQ45="5",BJ45,0)</f>
        <v>0</v>
      </c>
      <c r="AB45" s="33">
        <f aca="true" t="shared" si="48" ref="AB45:AB50">IF(AQ45="1",BH45,0)</f>
        <v>0</v>
      </c>
      <c r="AC45" s="33">
        <f aca="true" t="shared" si="49" ref="AC45:AC50">IF(AQ45="1",BI45,0)</f>
        <v>0</v>
      </c>
      <c r="AD45" s="33">
        <f aca="true" t="shared" si="50" ref="AD45:AD50">IF(AQ45="7",BH45,0)</f>
        <v>0</v>
      </c>
      <c r="AE45" s="33">
        <f aca="true" t="shared" si="51" ref="AE45:AE50">IF(AQ45="7",BI45,0)</f>
        <v>0</v>
      </c>
      <c r="AF45" s="33">
        <f aca="true" t="shared" si="52" ref="AF45:AF50">IF(AQ45="2",BH45,0)</f>
        <v>0</v>
      </c>
      <c r="AG45" s="33">
        <f aca="true" t="shared" si="53" ref="AG45:AG50">IF(AQ45="2",BI45,0)</f>
        <v>0</v>
      </c>
      <c r="AH45" s="33">
        <f aca="true" t="shared" si="54" ref="AH45:AH50">IF(AQ45="0",BJ45,0)</f>
        <v>0</v>
      </c>
      <c r="AI45" s="21" t="s">
        <v>284</v>
      </c>
      <c r="AJ45" s="33">
        <f aca="true" t="shared" si="55" ref="AJ45:AJ50">IF(AN45=0,L45,0)</f>
        <v>0</v>
      </c>
      <c r="AK45" s="33">
        <f aca="true" t="shared" si="56" ref="AK45:AK50">IF(AN45=15,L45,0)</f>
        <v>0</v>
      </c>
      <c r="AL45" s="33">
        <f aca="true" t="shared" si="57" ref="AL45:AL50">IF(AN45=21,L45,0)</f>
        <v>0</v>
      </c>
      <c r="AN45" s="33">
        <v>21</v>
      </c>
      <c r="AO45" s="33">
        <f>I45*0.735028654957192</f>
        <v>0</v>
      </c>
      <c r="AP45" s="33">
        <f>I45*(1-0.735028654957192)</f>
        <v>0</v>
      </c>
      <c r="AQ45" s="56" t="s">
        <v>396</v>
      </c>
      <c r="AV45" s="33">
        <f aca="true" t="shared" si="58" ref="AV45:AV50">AW45+AX45</f>
        <v>0</v>
      </c>
      <c r="AW45" s="33">
        <f aca="true" t="shared" si="59" ref="AW45:AW50">H45*AO45</f>
        <v>0</v>
      </c>
      <c r="AX45" s="33">
        <f aca="true" t="shared" si="60" ref="AX45:AX50">H45*AP45</f>
        <v>0</v>
      </c>
      <c r="AY45" s="56" t="s">
        <v>252</v>
      </c>
      <c r="AZ45" s="56" t="s">
        <v>22</v>
      </c>
      <c r="BA45" s="21" t="s">
        <v>306</v>
      </c>
      <c r="BC45" s="33">
        <f aca="true" t="shared" si="61" ref="BC45:BC50">AW45+AX45</f>
        <v>0</v>
      </c>
      <c r="BD45" s="33">
        <f aca="true" t="shared" si="62" ref="BD45:BD50">I45/(100-BE45)*100</f>
        <v>0</v>
      </c>
      <c r="BE45" s="33">
        <v>0</v>
      </c>
      <c r="BF45" s="33">
        <f>45</f>
        <v>45</v>
      </c>
      <c r="BH45" s="33">
        <f aca="true" t="shared" si="63" ref="BH45:BH50">H45*AO45</f>
        <v>0</v>
      </c>
      <c r="BI45" s="33">
        <f aca="true" t="shared" si="64" ref="BI45:BI50">H45*AP45</f>
        <v>0</v>
      </c>
      <c r="BJ45" s="33">
        <f aca="true" t="shared" si="65" ref="BJ45:BJ50">H45*I45</f>
        <v>0</v>
      </c>
      <c r="BK45" s="33"/>
      <c r="BL45" s="33">
        <v>722</v>
      </c>
    </row>
    <row r="46" spans="1:64" ht="15" customHeight="1">
      <c r="A46" s="9" t="s">
        <v>288</v>
      </c>
      <c r="B46" s="1" t="s">
        <v>64</v>
      </c>
      <c r="C46" s="62" t="s">
        <v>0</v>
      </c>
      <c r="D46" s="62"/>
      <c r="E46" s="62"/>
      <c r="F46" s="62"/>
      <c r="G46" s="1" t="s">
        <v>144</v>
      </c>
      <c r="H46" s="33">
        <v>2</v>
      </c>
      <c r="I46" s="33">
        <v>0</v>
      </c>
      <c r="J46" s="33">
        <f t="shared" si="44"/>
        <v>0</v>
      </c>
      <c r="K46" s="33">
        <f t="shared" si="45"/>
        <v>0</v>
      </c>
      <c r="L46" s="33">
        <f t="shared" si="46"/>
        <v>0</v>
      </c>
      <c r="M46" s="26" t="s">
        <v>157</v>
      </c>
      <c r="Z46" s="33">
        <f t="shared" si="47"/>
        <v>0</v>
      </c>
      <c r="AB46" s="33">
        <f t="shared" si="48"/>
        <v>0</v>
      </c>
      <c r="AC46" s="33">
        <f t="shared" si="49"/>
        <v>0</v>
      </c>
      <c r="AD46" s="33">
        <f t="shared" si="50"/>
        <v>0</v>
      </c>
      <c r="AE46" s="33">
        <f t="shared" si="51"/>
        <v>0</v>
      </c>
      <c r="AF46" s="33">
        <f t="shared" si="52"/>
        <v>0</v>
      </c>
      <c r="AG46" s="33">
        <f t="shared" si="53"/>
        <v>0</v>
      </c>
      <c r="AH46" s="33">
        <f t="shared" si="54"/>
        <v>0</v>
      </c>
      <c r="AI46" s="21" t="s">
        <v>284</v>
      </c>
      <c r="AJ46" s="33">
        <f t="shared" si="55"/>
        <v>0</v>
      </c>
      <c r="AK46" s="33">
        <f t="shared" si="56"/>
        <v>0</v>
      </c>
      <c r="AL46" s="33">
        <f t="shared" si="57"/>
        <v>0</v>
      </c>
      <c r="AN46" s="33">
        <v>21</v>
      </c>
      <c r="AO46" s="33">
        <f>I46*0.710106382978723</f>
        <v>0</v>
      </c>
      <c r="AP46" s="33">
        <f>I46*(1-0.710106382978723)</f>
        <v>0</v>
      </c>
      <c r="AQ46" s="56" t="s">
        <v>396</v>
      </c>
      <c r="AV46" s="33">
        <f t="shared" si="58"/>
        <v>0</v>
      </c>
      <c r="AW46" s="33">
        <f t="shared" si="59"/>
        <v>0</v>
      </c>
      <c r="AX46" s="33">
        <f t="shared" si="60"/>
        <v>0</v>
      </c>
      <c r="AY46" s="56" t="s">
        <v>252</v>
      </c>
      <c r="AZ46" s="56" t="s">
        <v>22</v>
      </c>
      <c r="BA46" s="21" t="s">
        <v>306</v>
      </c>
      <c r="BC46" s="33">
        <f t="shared" si="61"/>
        <v>0</v>
      </c>
      <c r="BD46" s="33">
        <f t="shared" si="62"/>
        <v>0</v>
      </c>
      <c r="BE46" s="33">
        <v>0</v>
      </c>
      <c r="BF46" s="33">
        <f>46</f>
        <v>46</v>
      </c>
      <c r="BH46" s="33">
        <f t="shared" si="63"/>
        <v>0</v>
      </c>
      <c r="BI46" s="33">
        <f t="shared" si="64"/>
        <v>0</v>
      </c>
      <c r="BJ46" s="33">
        <f t="shared" si="65"/>
        <v>0</v>
      </c>
      <c r="BK46" s="33"/>
      <c r="BL46" s="33">
        <v>722</v>
      </c>
    </row>
    <row r="47" spans="1:64" ht="15" customHeight="1">
      <c r="A47" s="9" t="s">
        <v>377</v>
      </c>
      <c r="B47" s="1" t="s">
        <v>94</v>
      </c>
      <c r="C47" s="62" t="s">
        <v>193</v>
      </c>
      <c r="D47" s="62"/>
      <c r="E47" s="62"/>
      <c r="F47" s="62"/>
      <c r="G47" s="1" t="s">
        <v>354</v>
      </c>
      <c r="H47" s="33">
        <v>1</v>
      </c>
      <c r="I47" s="33">
        <v>0</v>
      </c>
      <c r="J47" s="33">
        <f t="shared" si="44"/>
        <v>0</v>
      </c>
      <c r="K47" s="33">
        <f t="shared" si="45"/>
        <v>0</v>
      </c>
      <c r="L47" s="33">
        <f t="shared" si="46"/>
        <v>0</v>
      </c>
      <c r="M47" s="26" t="s">
        <v>284</v>
      </c>
      <c r="Z47" s="33">
        <f t="shared" si="47"/>
        <v>0</v>
      </c>
      <c r="AB47" s="33">
        <f t="shared" si="48"/>
        <v>0</v>
      </c>
      <c r="AC47" s="33">
        <f t="shared" si="49"/>
        <v>0</v>
      </c>
      <c r="AD47" s="33">
        <f t="shared" si="50"/>
        <v>0</v>
      </c>
      <c r="AE47" s="33">
        <f t="shared" si="51"/>
        <v>0</v>
      </c>
      <c r="AF47" s="33">
        <f t="shared" si="52"/>
        <v>0</v>
      </c>
      <c r="AG47" s="33">
        <f t="shared" si="53"/>
        <v>0</v>
      </c>
      <c r="AH47" s="33">
        <f t="shared" si="54"/>
        <v>0</v>
      </c>
      <c r="AI47" s="21" t="s">
        <v>284</v>
      </c>
      <c r="AJ47" s="33">
        <f t="shared" si="55"/>
        <v>0</v>
      </c>
      <c r="AK47" s="33">
        <f t="shared" si="56"/>
        <v>0</v>
      </c>
      <c r="AL47" s="33">
        <f t="shared" si="57"/>
        <v>0</v>
      </c>
      <c r="AN47" s="33">
        <v>21</v>
      </c>
      <c r="AO47" s="33">
        <f>I47*1</f>
        <v>0</v>
      </c>
      <c r="AP47" s="33">
        <f>I47*(1-1)</f>
        <v>0</v>
      </c>
      <c r="AQ47" s="56" t="s">
        <v>396</v>
      </c>
      <c r="AV47" s="33">
        <f t="shared" si="58"/>
        <v>0</v>
      </c>
      <c r="AW47" s="33">
        <f t="shared" si="59"/>
        <v>0</v>
      </c>
      <c r="AX47" s="33">
        <f t="shared" si="60"/>
        <v>0</v>
      </c>
      <c r="AY47" s="56" t="s">
        <v>252</v>
      </c>
      <c r="AZ47" s="56" t="s">
        <v>22</v>
      </c>
      <c r="BA47" s="21" t="s">
        <v>306</v>
      </c>
      <c r="BC47" s="33">
        <f t="shared" si="61"/>
        <v>0</v>
      </c>
      <c r="BD47" s="33">
        <f t="shared" si="62"/>
        <v>0</v>
      </c>
      <c r="BE47" s="33">
        <v>0</v>
      </c>
      <c r="BF47" s="33">
        <f>47</f>
        <v>47</v>
      </c>
      <c r="BH47" s="33">
        <f t="shared" si="63"/>
        <v>0</v>
      </c>
      <c r="BI47" s="33">
        <f t="shared" si="64"/>
        <v>0</v>
      </c>
      <c r="BJ47" s="33">
        <f t="shared" si="65"/>
        <v>0</v>
      </c>
      <c r="BK47" s="33"/>
      <c r="BL47" s="33">
        <v>722</v>
      </c>
    </row>
    <row r="48" spans="1:64" ht="15" customHeight="1">
      <c r="A48" s="9" t="s">
        <v>187</v>
      </c>
      <c r="B48" s="1" t="s">
        <v>175</v>
      </c>
      <c r="C48" s="62" t="s">
        <v>35</v>
      </c>
      <c r="D48" s="62"/>
      <c r="E48" s="62"/>
      <c r="F48" s="62"/>
      <c r="G48" s="1" t="s">
        <v>354</v>
      </c>
      <c r="H48" s="33">
        <v>1.3</v>
      </c>
      <c r="I48" s="33">
        <v>0</v>
      </c>
      <c r="J48" s="33">
        <f t="shared" si="44"/>
        <v>0</v>
      </c>
      <c r="K48" s="33">
        <f t="shared" si="45"/>
        <v>0</v>
      </c>
      <c r="L48" s="33">
        <f t="shared" si="46"/>
        <v>0</v>
      </c>
      <c r="M48" s="26" t="s">
        <v>157</v>
      </c>
      <c r="Z48" s="33">
        <f t="shared" si="47"/>
        <v>0</v>
      </c>
      <c r="AB48" s="33">
        <f t="shared" si="48"/>
        <v>0</v>
      </c>
      <c r="AC48" s="33">
        <f t="shared" si="49"/>
        <v>0</v>
      </c>
      <c r="AD48" s="33">
        <f t="shared" si="50"/>
        <v>0</v>
      </c>
      <c r="AE48" s="33">
        <f t="shared" si="51"/>
        <v>0</v>
      </c>
      <c r="AF48" s="33">
        <f t="shared" si="52"/>
        <v>0</v>
      </c>
      <c r="AG48" s="33">
        <f t="shared" si="53"/>
        <v>0</v>
      </c>
      <c r="AH48" s="33">
        <f t="shared" si="54"/>
        <v>0</v>
      </c>
      <c r="AI48" s="21" t="s">
        <v>284</v>
      </c>
      <c r="AJ48" s="33">
        <f t="shared" si="55"/>
        <v>0</v>
      </c>
      <c r="AK48" s="33">
        <f t="shared" si="56"/>
        <v>0</v>
      </c>
      <c r="AL48" s="33">
        <f t="shared" si="57"/>
        <v>0</v>
      </c>
      <c r="AN48" s="33">
        <v>21</v>
      </c>
      <c r="AO48" s="33">
        <f>I48*0</f>
        <v>0</v>
      </c>
      <c r="AP48" s="33">
        <f>I48*(1-0)</f>
        <v>0</v>
      </c>
      <c r="AQ48" s="56" t="s">
        <v>212</v>
      </c>
      <c r="AV48" s="33">
        <f t="shared" si="58"/>
        <v>0</v>
      </c>
      <c r="AW48" s="33">
        <f t="shared" si="59"/>
        <v>0</v>
      </c>
      <c r="AX48" s="33">
        <f t="shared" si="60"/>
        <v>0</v>
      </c>
      <c r="AY48" s="56" t="s">
        <v>252</v>
      </c>
      <c r="AZ48" s="56" t="s">
        <v>22</v>
      </c>
      <c r="BA48" s="21" t="s">
        <v>306</v>
      </c>
      <c r="BC48" s="33">
        <f t="shared" si="61"/>
        <v>0</v>
      </c>
      <c r="BD48" s="33">
        <f t="shared" si="62"/>
        <v>0</v>
      </c>
      <c r="BE48" s="33">
        <v>0</v>
      </c>
      <c r="BF48" s="33">
        <f>48</f>
        <v>48</v>
      </c>
      <c r="BH48" s="33">
        <f t="shared" si="63"/>
        <v>0</v>
      </c>
      <c r="BI48" s="33">
        <f t="shared" si="64"/>
        <v>0</v>
      </c>
      <c r="BJ48" s="33">
        <f t="shared" si="65"/>
        <v>0</v>
      </c>
      <c r="BK48" s="33"/>
      <c r="BL48" s="33">
        <v>722</v>
      </c>
    </row>
    <row r="49" spans="1:64" ht="15" customHeight="1">
      <c r="A49" s="9" t="s">
        <v>42</v>
      </c>
      <c r="B49" s="1" t="s">
        <v>370</v>
      </c>
      <c r="C49" s="62" t="s">
        <v>177</v>
      </c>
      <c r="D49" s="62"/>
      <c r="E49" s="62"/>
      <c r="F49" s="62"/>
      <c r="G49" s="1" t="s">
        <v>335</v>
      </c>
      <c r="H49" s="33">
        <v>14</v>
      </c>
      <c r="I49" s="33">
        <v>0</v>
      </c>
      <c r="J49" s="33">
        <f t="shared" si="44"/>
        <v>0</v>
      </c>
      <c r="K49" s="33">
        <f t="shared" si="45"/>
        <v>0</v>
      </c>
      <c r="L49" s="33">
        <f t="shared" si="46"/>
        <v>0</v>
      </c>
      <c r="M49" s="26" t="s">
        <v>340</v>
      </c>
      <c r="Z49" s="33">
        <f t="shared" si="47"/>
        <v>0</v>
      </c>
      <c r="AB49" s="33">
        <f t="shared" si="48"/>
        <v>0</v>
      </c>
      <c r="AC49" s="33">
        <f t="shared" si="49"/>
        <v>0</v>
      </c>
      <c r="AD49" s="33">
        <f t="shared" si="50"/>
        <v>0</v>
      </c>
      <c r="AE49" s="33">
        <f t="shared" si="51"/>
        <v>0</v>
      </c>
      <c r="AF49" s="33">
        <f t="shared" si="52"/>
        <v>0</v>
      </c>
      <c r="AG49" s="33">
        <f t="shared" si="53"/>
        <v>0</v>
      </c>
      <c r="AH49" s="33">
        <f t="shared" si="54"/>
        <v>0</v>
      </c>
      <c r="AI49" s="21" t="s">
        <v>284</v>
      </c>
      <c r="AJ49" s="33">
        <f t="shared" si="55"/>
        <v>0</v>
      </c>
      <c r="AK49" s="33">
        <f t="shared" si="56"/>
        <v>0</v>
      </c>
      <c r="AL49" s="33">
        <f t="shared" si="57"/>
        <v>0</v>
      </c>
      <c r="AN49" s="33">
        <v>21</v>
      </c>
      <c r="AO49" s="33">
        <f>I49*0.222808988764045</f>
        <v>0</v>
      </c>
      <c r="AP49" s="33">
        <f>I49*(1-0.222808988764045)</f>
        <v>0</v>
      </c>
      <c r="AQ49" s="56" t="s">
        <v>396</v>
      </c>
      <c r="AV49" s="33">
        <f t="shared" si="58"/>
        <v>0</v>
      </c>
      <c r="AW49" s="33">
        <f t="shared" si="59"/>
        <v>0</v>
      </c>
      <c r="AX49" s="33">
        <f t="shared" si="60"/>
        <v>0</v>
      </c>
      <c r="AY49" s="56" t="s">
        <v>252</v>
      </c>
      <c r="AZ49" s="56" t="s">
        <v>22</v>
      </c>
      <c r="BA49" s="21" t="s">
        <v>306</v>
      </c>
      <c r="BC49" s="33">
        <f t="shared" si="61"/>
        <v>0</v>
      </c>
      <c r="BD49" s="33">
        <f t="shared" si="62"/>
        <v>0</v>
      </c>
      <c r="BE49" s="33">
        <v>0</v>
      </c>
      <c r="BF49" s="33">
        <f>49</f>
        <v>49</v>
      </c>
      <c r="BH49" s="33">
        <f t="shared" si="63"/>
        <v>0</v>
      </c>
      <c r="BI49" s="33">
        <f t="shared" si="64"/>
        <v>0</v>
      </c>
      <c r="BJ49" s="33">
        <f t="shared" si="65"/>
        <v>0</v>
      </c>
      <c r="BK49" s="33"/>
      <c r="BL49" s="33">
        <v>722</v>
      </c>
    </row>
    <row r="50" spans="1:64" ht="15" customHeight="1">
      <c r="A50" s="9" t="s">
        <v>111</v>
      </c>
      <c r="B50" s="1" t="s">
        <v>175</v>
      </c>
      <c r="C50" s="62" t="s">
        <v>35</v>
      </c>
      <c r="D50" s="62"/>
      <c r="E50" s="62"/>
      <c r="F50" s="62"/>
      <c r="G50" s="1" t="s">
        <v>354</v>
      </c>
      <c r="H50" s="33">
        <v>1.4</v>
      </c>
      <c r="I50" s="33">
        <v>0</v>
      </c>
      <c r="J50" s="33">
        <f t="shared" si="44"/>
        <v>0</v>
      </c>
      <c r="K50" s="33">
        <f t="shared" si="45"/>
        <v>0</v>
      </c>
      <c r="L50" s="33">
        <f t="shared" si="46"/>
        <v>0</v>
      </c>
      <c r="M50" s="26" t="s">
        <v>340</v>
      </c>
      <c r="Z50" s="33">
        <f t="shared" si="47"/>
        <v>0</v>
      </c>
      <c r="AB50" s="33">
        <f t="shared" si="48"/>
        <v>0</v>
      </c>
      <c r="AC50" s="33">
        <f t="shared" si="49"/>
        <v>0</v>
      </c>
      <c r="AD50" s="33">
        <f t="shared" si="50"/>
        <v>0</v>
      </c>
      <c r="AE50" s="33">
        <f t="shared" si="51"/>
        <v>0</v>
      </c>
      <c r="AF50" s="33">
        <f t="shared" si="52"/>
        <v>0</v>
      </c>
      <c r="AG50" s="33">
        <f t="shared" si="53"/>
        <v>0</v>
      </c>
      <c r="AH50" s="33">
        <f t="shared" si="54"/>
        <v>0</v>
      </c>
      <c r="AI50" s="21" t="s">
        <v>284</v>
      </c>
      <c r="AJ50" s="33">
        <f t="shared" si="55"/>
        <v>0</v>
      </c>
      <c r="AK50" s="33">
        <f t="shared" si="56"/>
        <v>0</v>
      </c>
      <c r="AL50" s="33">
        <f t="shared" si="57"/>
        <v>0</v>
      </c>
      <c r="AN50" s="33">
        <v>21</v>
      </c>
      <c r="AO50" s="33">
        <f>I50*0</f>
        <v>0</v>
      </c>
      <c r="AP50" s="33">
        <f>I50*(1-0)</f>
        <v>0</v>
      </c>
      <c r="AQ50" s="56" t="s">
        <v>212</v>
      </c>
      <c r="AV50" s="33">
        <f t="shared" si="58"/>
        <v>0</v>
      </c>
      <c r="AW50" s="33">
        <f t="shared" si="59"/>
        <v>0</v>
      </c>
      <c r="AX50" s="33">
        <f t="shared" si="60"/>
        <v>0</v>
      </c>
      <c r="AY50" s="56" t="s">
        <v>252</v>
      </c>
      <c r="AZ50" s="56" t="s">
        <v>22</v>
      </c>
      <c r="BA50" s="21" t="s">
        <v>306</v>
      </c>
      <c r="BC50" s="33">
        <f t="shared" si="61"/>
        <v>0</v>
      </c>
      <c r="BD50" s="33">
        <f t="shared" si="62"/>
        <v>0</v>
      </c>
      <c r="BE50" s="33">
        <v>0</v>
      </c>
      <c r="BF50" s="33">
        <f>50</f>
        <v>50</v>
      </c>
      <c r="BH50" s="33">
        <f t="shared" si="63"/>
        <v>0</v>
      </c>
      <c r="BI50" s="33">
        <f t="shared" si="64"/>
        <v>0</v>
      </c>
      <c r="BJ50" s="33">
        <f t="shared" si="65"/>
        <v>0</v>
      </c>
      <c r="BK50" s="33"/>
      <c r="BL50" s="33">
        <v>722</v>
      </c>
    </row>
    <row r="51" spans="1:47" ht="15" customHeight="1">
      <c r="A51" s="30" t="s">
        <v>284</v>
      </c>
      <c r="B51" s="42" t="s">
        <v>381</v>
      </c>
      <c r="C51" s="78" t="s">
        <v>235</v>
      </c>
      <c r="D51" s="78"/>
      <c r="E51" s="78"/>
      <c r="F51" s="78"/>
      <c r="G51" s="53" t="s">
        <v>368</v>
      </c>
      <c r="H51" s="53" t="s">
        <v>368</v>
      </c>
      <c r="I51" s="53" t="s">
        <v>368</v>
      </c>
      <c r="J51" s="14">
        <f>SUM(J52:J53)</f>
        <v>0</v>
      </c>
      <c r="K51" s="14">
        <f>SUM(K52:K53)</f>
        <v>0</v>
      </c>
      <c r="L51" s="14">
        <f>SUM(L52:L53)</f>
        <v>0</v>
      </c>
      <c r="M51" s="55" t="s">
        <v>284</v>
      </c>
      <c r="AI51" s="21" t="s">
        <v>284</v>
      </c>
      <c r="AS51" s="14">
        <f>SUM(AJ52:AJ53)</f>
        <v>0</v>
      </c>
      <c r="AT51" s="14">
        <f>SUM(AK52:AK53)</f>
        <v>0</v>
      </c>
      <c r="AU51" s="14">
        <f>SUM(AL52:AL53)</f>
        <v>0</v>
      </c>
    </row>
    <row r="52" spans="1:64" ht="15" customHeight="1">
      <c r="A52" s="9" t="s">
        <v>57</v>
      </c>
      <c r="B52" s="1" t="s">
        <v>420</v>
      </c>
      <c r="C52" s="62" t="s">
        <v>119</v>
      </c>
      <c r="D52" s="62"/>
      <c r="E52" s="62"/>
      <c r="F52" s="62"/>
      <c r="G52" s="1" t="s">
        <v>144</v>
      </c>
      <c r="H52" s="33">
        <v>2</v>
      </c>
      <c r="I52" s="33">
        <v>0</v>
      </c>
      <c r="J52" s="33">
        <f>H52*AO52</f>
        <v>0</v>
      </c>
      <c r="K52" s="33">
        <f>H52*AP52</f>
        <v>0</v>
      </c>
      <c r="L52" s="33">
        <f>H52*I52</f>
        <v>0</v>
      </c>
      <c r="M52" s="26" t="s">
        <v>157</v>
      </c>
      <c r="Z52" s="33">
        <f>IF(AQ52="5",BJ52,0)</f>
        <v>0</v>
      </c>
      <c r="AB52" s="33">
        <f>IF(AQ52="1",BH52,0)</f>
        <v>0</v>
      </c>
      <c r="AC52" s="33">
        <f>IF(AQ52="1",BI52,0)</f>
        <v>0</v>
      </c>
      <c r="AD52" s="33">
        <f>IF(AQ52="7",BH52,0)</f>
        <v>0</v>
      </c>
      <c r="AE52" s="33">
        <f>IF(AQ52="7",BI52,0)</f>
        <v>0</v>
      </c>
      <c r="AF52" s="33">
        <f>IF(AQ52="2",BH52,0)</f>
        <v>0</v>
      </c>
      <c r="AG52" s="33">
        <f>IF(AQ52="2",BI52,0)</f>
        <v>0</v>
      </c>
      <c r="AH52" s="33">
        <f>IF(AQ52="0",BJ52,0)</f>
        <v>0</v>
      </c>
      <c r="AI52" s="21" t="s">
        <v>284</v>
      </c>
      <c r="AJ52" s="33">
        <f>IF(AN52=0,L52,0)</f>
        <v>0</v>
      </c>
      <c r="AK52" s="33">
        <f>IF(AN52=15,L52,0)</f>
        <v>0</v>
      </c>
      <c r="AL52" s="33">
        <f>IF(AN52=21,L52,0)</f>
        <v>0</v>
      </c>
      <c r="AN52" s="33">
        <v>21</v>
      </c>
      <c r="AO52" s="33">
        <f>I52*0.523036437246964</f>
        <v>0</v>
      </c>
      <c r="AP52" s="33">
        <f>I52*(1-0.523036437246964)</f>
        <v>0</v>
      </c>
      <c r="AQ52" s="56" t="s">
        <v>396</v>
      </c>
      <c r="AV52" s="33">
        <f>AW52+AX52</f>
        <v>0</v>
      </c>
      <c r="AW52" s="33">
        <f>H52*AO52</f>
        <v>0</v>
      </c>
      <c r="AX52" s="33">
        <f>H52*AP52</f>
        <v>0</v>
      </c>
      <c r="AY52" s="56" t="s">
        <v>188</v>
      </c>
      <c r="AZ52" s="56" t="s">
        <v>22</v>
      </c>
      <c r="BA52" s="21" t="s">
        <v>306</v>
      </c>
      <c r="BC52" s="33">
        <f>AW52+AX52</f>
        <v>0</v>
      </c>
      <c r="BD52" s="33">
        <f>I52/(100-BE52)*100</f>
        <v>0</v>
      </c>
      <c r="BE52" s="33">
        <v>0</v>
      </c>
      <c r="BF52" s="33">
        <f>52</f>
        <v>52</v>
      </c>
      <c r="BH52" s="33">
        <f>H52*AO52</f>
        <v>0</v>
      </c>
      <c r="BI52" s="33">
        <f>H52*AP52</f>
        <v>0</v>
      </c>
      <c r="BJ52" s="33">
        <f>H52*I52</f>
        <v>0</v>
      </c>
      <c r="BK52" s="33"/>
      <c r="BL52" s="33">
        <v>725</v>
      </c>
    </row>
    <row r="53" spans="1:64" ht="15" customHeight="1">
      <c r="A53" s="9" t="s">
        <v>385</v>
      </c>
      <c r="B53" s="1" t="s">
        <v>161</v>
      </c>
      <c r="C53" s="62" t="s">
        <v>371</v>
      </c>
      <c r="D53" s="62"/>
      <c r="E53" s="62"/>
      <c r="F53" s="62"/>
      <c r="G53" s="1" t="s">
        <v>354</v>
      </c>
      <c r="H53" s="33">
        <v>0.33</v>
      </c>
      <c r="I53" s="33">
        <v>0</v>
      </c>
      <c r="J53" s="33">
        <f>H53*AO53</f>
        <v>0</v>
      </c>
      <c r="K53" s="33">
        <f>H53*AP53</f>
        <v>0</v>
      </c>
      <c r="L53" s="33">
        <f>H53*I53</f>
        <v>0</v>
      </c>
      <c r="M53" s="26" t="s">
        <v>157</v>
      </c>
      <c r="Z53" s="33">
        <f>IF(AQ53="5",BJ53,0)</f>
        <v>0</v>
      </c>
      <c r="AB53" s="33">
        <f>IF(AQ53="1",BH53,0)</f>
        <v>0</v>
      </c>
      <c r="AC53" s="33">
        <f>IF(AQ53="1",BI53,0)</f>
        <v>0</v>
      </c>
      <c r="AD53" s="33">
        <f>IF(AQ53="7",BH53,0)</f>
        <v>0</v>
      </c>
      <c r="AE53" s="33">
        <f>IF(AQ53="7",BI53,0)</f>
        <v>0</v>
      </c>
      <c r="AF53" s="33">
        <f>IF(AQ53="2",BH53,0)</f>
        <v>0</v>
      </c>
      <c r="AG53" s="33">
        <f>IF(AQ53="2",BI53,0)</f>
        <v>0</v>
      </c>
      <c r="AH53" s="33">
        <f>IF(AQ53="0",BJ53,0)</f>
        <v>0</v>
      </c>
      <c r="AI53" s="21" t="s">
        <v>284</v>
      </c>
      <c r="AJ53" s="33">
        <f>IF(AN53=0,L53,0)</f>
        <v>0</v>
      </c>
      <c r="AK53" s="33">
        <f>IF(AN53=15,L53,0)</f>
        <v>0</v>
      </c>
      <c r="AL53" s="33">
        <f>IF(AN53=21,L53,0)</f>
        <v>0</v>
      </c>
      <c r="AN53" s="33">
        <v>21</v>
      </c>
      <c r="AO53" s="33">
        <f>I53*0</f>
        <v>0</v>
      </c>
      <c r="AP53" s="33">
        <f>I53*(1-0)</f>
        <v>0</v>
      </c>
      <c r="AQ53" s="56" t="s">
        <v>212</v>
      </c>
      <c r="AV53" s="33">
        <f>AW53+AX53</f>
        <v>0</v>
      </c>
      <c r="AW53" s="33">
        <f>H53*AO53</f>
        <v>0</v>
      </c>
      <c r="AX53" s="33">
        <f>H53*AP53</f>
        <v>0</v>
      </c>
      <c r="AY53" s="56" t="s">
        <v>188</v>
      </c>
      <c r="AZ53" s="56" t="s">
        <v>22</v>
      </c>
      <c r="BA53" s="21" t="s">
        <v>306</v>
      </c>
      <c r="BC53" s="33">
        <f>AW53+AX53</f>
        <v>0</v>
      </c>
      <c r="BD53" s="33">
        <f>I53/(100-BE53)*100</f>
        <v>0</v>
      </c>
      <c r="BE53" s="33">
        <v>0</v>
      </c>
      <c r="BF53" s="33">
        <f>53</f>
        <v>53</v>
      </c>
      <c r="BH53" s="33">
        <f>H53*AO53</f>
        <v>0</v>
      </c>
      <c r="BI53" s="33">
        <f>H53*AP53</f>
        <v>0</v>
      </c>
      <c r="BJ53" s="33">
        <f>H53*I53</f>
        <v>0</v>
      </c>
      <c r="BK53" s="33"/>
      <c r="BL53" s="33">
        <v>725</v>
      </c>
    </row>
    <row r="54" spans="1:47" ht="15" customHeight="1">
      <c r="A54" s="30" t="s">
        <v>284</v>
      </c>
      <c r="B54" s="42" t="s">
        <v>318</v>
      </c>
      <c r="C54" s="78" t="s">
        <v>270</v>
      </c>
      <c r="D54" s="78"/>
      <c r="E54" s="78"/>
      <c r="F54" s="78"/>
      <c r="G54" s="53" t="s">
        <v>368</v>
      </c>
      <c r="H54" s="53" t="s">
        <v>368</v>
      </c>
      <c r="I54" s="53" t="s">
        <v>368</v>
      </c>
      <c r="J54" s="14">
        <f>SUM(J55:J61)</f>
        <v>0</v>
      </c>
      <c r="K54" s="14">
        <f>SUM(K55:K61)</f>
        <v>0</v>
      </c>
      <c r="L54" s="14">
        <f>SUM(L55:L61)</f>
        <v>0</v>
      </c>
      <c r="M54" s="55" t="s">
        <v>284</v>
      </c>
      <c r="AI54" s="21" t="s">
        <v>284</v>
      </c>
      <c r="AS54" s="14">
        <f>SUM(AJ55:AJ61)</f>
        <v>0</v>
      </c>
      <c r="AT54" s="14">
        <f>SUM(AK55:AK61)</f>
        <v>0</v>
      </c>
      <c r="AU54" s="14">
        <f>SUM(AL55:AL61)</f>
        <v>0</v>
      </c>
    </row>
    <row r="55" spans="1:64" ht="15" customHeight="1">
      <c r="A55" s="9" t="s">
        <v>424</v>
      </c>
      <c r="B55" s="1" t="s">
        <v>264</v>
      </c>
      <c r="C55" s="62" t="s">
        <v>379</v>
      </c>
      <c r="D55" s="62"/>
      <c r="E55" s="62"/>
      <c r="F55" s="62"/>
      <c r="G55" s="1" t="s">
        <v>388</v>
      </c>
      <c r="H55" s="33">
        <v>65</v>
      </c>
      <c r="I55" s="33">
        <v>0</v>
      </c>
      <c r="J55" s="33">
        <f aca="true" t="shared" si="66" ref="J55:J61">H55*AO55</f>
        <v>0</v>
      </c>
      <c r="K55" s="33">
        <f aca="true" t="shared" si="67" ref="K55:K61">H55*AP55</f>
        <v>0</v>
      </c>
      <c r="L55" s="33">
        <f aca="true" t="shared" si="68" ref="L55:L61">H55*I55</f>
        <v>0</v>
      </c>
      <c r="M55" s="26" t="s">
        <v>157</v>
      </c>
      <c r="Z55" s="33">
        <f aca="true" t="shared" si="69" ref="Z55:Z61">IF(AQ55="5",BJ55,0)</f>
        <v>0</v>
      </c>
      <c r="AB55" s="33">
        <f aca="true" t="shared" si="70" ref="AB55:AB61">IF(AQ55="1",BH55,0)</f>
        <v>0</v>
      </c>
      <c r="AC55" s="33">
        <f aca="true" t="shared" si="71" ref="AC55:AC61">IF(AQ55="1",BI55,0)</f>
        <v>0</v>
      </c>
      <c r="AD55" s="33">
        <f aca="true" t="shared" si="72" ref="AD55:AD61">IF(AQ55="7",BH55,0)</f>
        <v>0</v>
      </c>
      <c r="AE55" s="33">
        <f aca="true" t="shared" si="73" ref="AE55:AE61">IF(AQ55="7",BI55,0)</f>
        <v>0</v>
      </c>
      <c r="AF55" s="33">
        <f aca="true" t="shared" si="74" ref="AF55:AF61">IF(AQ55="2",BH55,0)</f>
        <v>0</v>
      </c>
      <c r="AG55" s="33">
        <f aca="true" t="shared" si="75" ref="AG55:AG61">IF(AQ55="2",BI55,0)</f>
        <v>0</v>
      </c>
      <c r="AH55" s="33">
        <f aca="true" t="shared" si="76" ref="AH55:AH61">IF(AQ55="0",BJ55,0)</f>
        <v>0</v>
      </c>
      <c r="AI55" s="21" t="s">
        <v>284</v>
      </c>
      <c r="AJ55" s="33">
        <f aca="true" t="shared" si="77" ref="AJ55:AJ61">IF(AN55=0,L55,0)</f>
        <v>0</v>
      </c>
      <c r="AK55" s="33">
        <f aca="true" t="shared" si="78" ref="AK55:AK61">IF(AN55=15,L55,0)</f>
        <v>0</v>
      </c>
      <c r="AL55" s="33">
        <f aca="true" t="shared" si="79" ref="AL55:AL61">IF(AN55=21,L55,0)</f>
        <v>0</v>
      </c>
      <c r="AN55" s="33">
        <v>21</v>
      </c>
      <c r="AO55" s="33">
        <f>I55*0</f>
        <v>0</v>
      </c>
      <c r="AP55" s="33">
        <f>I55*(1-0)</f>
        <v>0</v>
      </c>
      <c r="AQ55" s="56" t="s">
        <v>396</v>
      </c>
      <c r="AV55" s="33">
        <f aca="true" t="shared" si="80" ref="AV55:AV61">AW55+AX55</f>
        <v>0</v>
      </c>
      <c r="AW55" s="33">
        <f aca="true" t="shared" si="81" ref="AW55:AW61">H55*AO55</f>
        <v>0</v>
      </c>
      <c r="AX55" s="33">
        <f aca="true" t="shared" si="82" ref="AX55:AX61">H55*AP55</f>
        <v>0</v>
      </c>
      <c r="AY55" s="56" t="s">
        <v>90</v>
      </c>
      <c r="AZ55" s="56" t="s">
        <v>109</v>
      </c>
      <c r="BA55" s="21" t="s">
        <v>306</v>
      </c>
      <c r="BC55" s="33">
        <f aca="true" t="shared" si="83" ref="BC55:BC61">AW55+AX55</f>
        <v>0</v>
      </c>
      <c r="BD55" s="33">
        <f aca="true" t="shared" si="84" ref="BD55:BD61">I55/(100-BE55)*100</f>
        <v>0</v>
      </c>
      <c r="BE55" s="33">
        <v>0</v>
      </c>
      <c r="BF55" s="33">
        <f>55</f>
        <v>55</v>
      </c>
      <c r="BH55" s="33">
        <f aca="true" t="shared" si="85" ref="BH55:BH61">H55*AO55</f>
        <v>0</v>
      </c>
      <c r="BI55" s="33">
        <f aca="true" t="shared" si="86" ref="BI55:BI61">H55*AP55</f>
        <v>0</v>
      </c>
      <c r="BJ55" s="33">
        <f aca="true" t="shared" si="87" ref="BJ55:BJ61">H55*I55</f>
        <v>0</v>
      </c>
      <c r="BK55" s="33"/>
      <c r="BL55" s="33">
        <v>776</v>
      </c>
    </row>
    <row r="56" spans="1:64" ht="15" customHeight="1">
      <c r="A56" s="9" t="s">
        <v>28</v>
      </c>
      <c r="B56" s="1" t="s">
        <v>265</v>
      </c>
      <c r="C56" s="62" t="s">
        <v>258</v>
      </c>
      <c r="D56" s="62"/>
      <c r="E56" s="62"/>
      <c r="F56" s="62"/>
      <c r="G56" s="1" t="s">
        <v>335</v>
      </c>
      <c r="H56" s="33">
        <v>62</v>
      </c>
      <c r="I56" s="33">
        <v>0</v>
      </c>
      <c r="J56" s="33">
        <f t="shared" si="66"/>
        <v>0</v>
      </c>
      <c r="K56" s="33">
        <f t="shared" si="67"/>
        <v>0</v>
      </c>
      <c r="L56" s="33">
        <f t="shared" si="68"/>
        <v>0</v>
      </c>
      <c r="M56" s="26" t="s">
        <v>157</v>
      </c>
      <c r="Z56" s="33">
        <f t="shared" si="69"/>
        <v>0</v>
      </c>
      <c r="AB56" s="33">
        <f t="shared" si="70"/>
        <v>0</v>
      </c>
      <c r="AC56" s="33">
        <f t="shared" si="71"/>
        <v>0</v>
      </c>
      <c r="AD56" s="33">
        <f t="shared" si="72"/>
        <v>0</v>
      </c>
      <c r="AE56" s="33">
        <f t="shared" si="73"/>
        <v>0</v>
      </c>
      <c r="AF56" s="33">
        <f t="shared" si="74"/>
        <v>0</v>
      </c>
      <c r="AG56" s="33">
        <f t="shared" si="75"/>
        <v>0</v>
      </c>
      <c r="AH56" s="33">
        <f t="shared" si="76"/>
        <v>0</v>
      </c>
      <c r="AI56" s="21" t="s">
        <v>284</v>
      </c>
      <c r="AJ56" s="33">
        <f t="shared" si="77"/>
        <v>0</v>
      </c>
      <c r="AK56" s="33">
        <f t="shared" si="78"/>
        <v>0</v>
      </c>
      <c r="AL56" s="33">
        <f t="shared" si="79"/>
        <v>0</v>
      </c>
      <c r="AN56" s="33">
        <v>21</v>
      </c>
      <c r="AO56" s="33">
        <f>I56*0</f>
        <v>0</v>
      </c>
      <c r="AP56" s="33">
        <f>I56*(1-0)</f>
        <v>0</v>
      </c>
      <c r="AQ56" s="56" t="s">
        <v>396</v>
      </c>
      <c r="AV56" s="33">
        <f t="shared" si="80"/>
        <v>0</v>
      </c>
      <c r="AW56" s="33">
        <f t="shared" si="81"/>
        <v>0</v>
      </c>
      <c r="AX56" s="33">
        <f t="shared" si="82"/>
        <v>0</v>
      </c>
      <c r="AY56" s="56" t="s">
        <v>90</v>
      </c>
      <c r="AZ56" s="56" t="s">
        <v>109</v>
      </c>
      <c r="BA56" s="21" t="s">
        <v>306</v>
      </c>
      <c r="BC56" s="33">
        <f t="shared" si="83"/>
        <v>0</v>
      </c>
      <c r="BD56" s="33">
        <f t="shared" si="84"/>
        <v>0</v>
      </c>
      <c r="BE56" s="33">
        <v>0</v>
      </c>
      <c r="BF56" s="33">
        <f>56</f>
        <v>56</v>
      </c>
      <c r="BH56" s="33">
        <f t="shared" si="85"/>
        <v>0</v>
      </c>
      <c r="BI56" s="33">
        <f t="shared" si="86"/>
        <v>0</v>
      </c>
      <c r="BJ56" s="33">
        <f t="shared" si="87"/>
        <v>0</v>
      </c>
      <c r="BK56" s="33"/>
      <c r="BL56" s="33">
        <v>776</v>
      </c>
    </row>
    <row r="57" spans="1:64" ht="15" customHeight="1">
      <c r="A57" s="9" t="s">
        <v>262</v>
      </c>
      <c r="B57" s="1" t="s">
        <v>329</v>
      </c>
      <c r="C57" s="62" t="s">
        <v>305</v>
      </c>
      <c r="D57" s="62"/>
      <c r="E57" s="62"/>
      <c r="F57" s="62"/>
      <c r="G57" s="1" t="s">
        <v>388</v>
      </c>
      <c r="H57" s="33">
        <v>65</v>
      </c>
      <c r="I57" s="33">
        <v>0</v>
      </c>
      <c r="J57" s="33">
        <f t="shared" si="66"/>
        <v>0</v>
      </c>
      <c r="K57" s="33">
        <f t="shared" si="67"/>
        <v>0</v>
      </c>
      <c r="L57" s="33">
        <f t="shared" si="68"/>
        <v>0</v>
      </c>
      <c r="M57" s="26" t="s">
        <v>157</v>
      </c>
      <c r="Z57" s="33">
        <f t="shared" si="69"/>
        <v>0</v>
      </c>
      <c r="AB57" s="33">
        <f t="shared" si="70"/>
        <v>0</v>
      </c>
      <c r="AC57" s="33">
        <f t="shared" si="71"/>
        <v>0</v>
      </c>
      <c r="AD57" s="33">
        <f t="shared" si="72"/>
        <v>0</v>
      </c>
      <c r="AE57" s="33">
        <f t="shared" si="73"/>
        <v>0</v>
      </c>
      <c r="AF57" s="33">
        <f t="shared" si="74"/>
        <v>0</v>
      </c>
      <c r="AG57" s="33">
        <f t="shared" si="75"/>
        <v>0</v>
      </c>
      <c r="AH57" s="33">
        <f t="shared" si="76"/>
        <v>0</v>
      </c>
      <c r="AI57" s="21" t="s">
        <v>284</v>
      </c>
      <c r="AJ57" s="33">
        <f t="shared" si="77"/>
        <v>0</v>
      </c>
      <c r="AK57" s="33">
        <f t="shared" si="78"/>
        <v>0</v>
      </c>
      <c r="AL57" s="33">
        <f t="shared" si="79"/>
        <v>0</v>
      </c>
      <c r="AN57" s="33">
        <v>21</v>
      </c>
      <c r="AO57" s="33">
        <f>I57*0</f>
        <v>0</v>
      </c>
      <c r="AP57" s="33">
        <f>I57*(1-0)</f>
        <v>0</v>
      </c>
      <c r="AQ57" s="56" t="s">
        <v>396</v>
      </c>
      <c r="AV57" s="33">
        <f t="shared" si="80"/>
        <v>0</v>
      </c>
      <c r="AW57" s="33">
        <f t="shared" si="81"/>
        <v>0</v>
      </c>
      <c r="AX57" s="33">
        <f t="shared" si="82"/>
        <v>0</v>
      </c>
      <c r="AY57" s="56" t="s">
        <v>90</v>
      </c>
      <c r="AZ57" s="56" t="s">
        <v>109</v>
      </c>
      <c r="BA57" s="21" t="s">
        <v>306</v>
      </c>
      <c r="BC57" s="33">
        <f t="shared" si="83"/>
        <v>0</v>
      </c>
      <c r="BD57" s="33">
        <f t="shared" si="84"/>
        <v>0</v>
      </c>
      <c r="BE57" s="33">
        <v>0</v>
      </c>
      <c r="BF57" s="33">
        <f>57</f>
        <v>57</v>
      </c>
      <c r="BH57" s="33">
        <f t="shared" si="85"/>
        <v>0</v>
      </c>
      <c r="BI57" s="33">
        <f t="shared" si="86"/>
        <v>0</v>
      </c>
      <c r="BJ57" s="33">
        <f t="shared" si="87"/>
        <v>0</v>
      </c>
      <c r="BK57" s="33"/>
      <c r="BL57" s="33">
        <v>776</v>
      </c>
    </row>
    <row r="58" spans="1:64" ht="15" customHeight="1">
      <c r="A58" s="9" t="s">
        <v>234</v>
      </c>
      <c r="B58" s="1" t="s">
        <v>49</v>
      </c>
      <c r="C58" s="62" t="s">
        <v>100</v>
      </c>
      <c r="D58" s="62"/>
      <c r="E58" s="62"/>
      <c r="F58" s="62"/>
      <c r="G58" s="1" t="s">
        <v>388</v>
      </c>
      <c r="H58" s="33">
        <v>65</v>
      </c>
      <c r="I58" s="33">
        <v>0</v>
      </c>
      <c r="J58" s="33">
        <f t="shared" si="66"/>
        <v>0</v>
      </c>
      <c r="K58" s="33">
        <f t="shared" si="67"/>
        <v>0</v>
      </c>
      <c r="L58" s="33">
        <f t="shared" si="68"/>
        <v>0</v>
      </c>
      <c r="M58" s="26" t="s">
        <v>157</v>
      </c>
      <c r="Z58" s="33">
        <f t="shared" si="69"/>
        <v>0</v>
      </c>
      <c r="AB58" s="33">
        <f t="shared" si="70"/>
        <v>0</v>
      </c>
      <c r="AC58" s="33">
        <f t="shared" si="71"/>
        <v>0</v>
      </c>
      <c r="AD58" s="33">
        <f t="shared" si="72"/>
        <v>0</v>
      </c>
      <c r="AE58" s="33">
        <f t="shared" si="73"/>
        <v>0</v>
      </c>
      <c r="AF58" s="33">
        <f t="shared" si="74"/>
        <v>0</v>
      </c>
      <c r="AG58" s="33">
        <f t="shared" si="75"/>
        <v>0</v>
      </c>
      <c r="AH58" s="33">
        <f t="shared" si="76"/>
        <v>0</v>
      </c>
      <c r="AI58" s="21" t="s">
        <v>284</v>
      </c>
      <c r="AJ58" s="33">
        <f t="shared" si="77"/>
        <v>0</v>
      </c>
      <c r="AK58" s="33">
        <f t="shared" si="78"/>
        <v>0</v>
      </c>
      <c r="AL58" s="33">
        <f t="shared" si="79"/>
        <v>0</v>
      </c>
      <c r="AN58" s="33">
        <v>21</v>
      </c>
      <c r="AO58" s="33">
        <f>I58*0</f>
        <v>0</v>
      </c>
      <c r="AP58" s="33">
        <f>I58*(1-0)</f>
        <v>0</v>
      </c>
      <c r="AQ58" s="56" t="s">
        <v>396</v>
      </c>
      <c r="AV58" s="33">
        <f t="shared" si="80"/>
        <v>0</v>
      </c>
      <c r="AW58" s="33">
        <f t="shared" si="81"/>
        <v>0</v>
      </c>
      <c r="AX58" s="33">
        <f t="shared" si="82"/>
        <v>0</v>
      </c>
      <c r="AY58" s="56" t="s">
        <v>90</v>
      </c>
      <c r="AZ58" s="56" t="s">
        <v>109</v>
      </c>
      <c r="BA58" s="21" t="s">
        <v>306</v>
      </c>
      <c r="BC58" s="33">
        <f t="shared" si="83"/>
        <v>0</v>
      </c>
      <c r="BD58" s="33">
        <f t="shared" si="84"/>
        <v>0</v>
      </c>
      <c r="BE58" s="33">
        <v>0</v>
      </c>
      <c r="BF58" s="33">
        <f>58</f>
        <v>58</v>
      </c>
      <c r="BH58" s="33">
        <f t="shared" si="85"/>
        <v>0</v>
      </c>
      <c r="BI58" s="33">
        <f t="shared" si="86"/>
        <v>0</v>
      </c>
      <c r="BJ58" s="33">
        <f t="shared" si="87"/>
        <v>0</v>
      </c>
      <c r="BK58" s="33"/>
      <c r="BL58" s="33">
        <v>776</v>
      </c>
    </row>
    <row r="59" spans="1:64" ht="15" customHeight="1">
      <c r="A59" s="9" t="s">
        <v>341</v>
      </c>
      <c r="B59" s="1" t="s">
        <v>166</v>
      </c>
      <c r="C59" s="62" t="s">
        <v>149</v>
      </c>
      <c r="D59" s="62"/>
      <c r="E59" s="62"/>
      <c r="F59" s="62"/>
      <c r="G59" s="1" t="s">
        <v>335</v>
      </c>
      <c r="H59" s="33">
        <v>62</v>
      </c>
      <c r="I59" s="33">
        <v>0</v>
      </c>
      <c r="J59" s="33">
        <f t="shared" si="66"/>
        <v>0</v>
      </c>
      <c r="K59" s="33">
        <f t="shared" si="67"/>
        <v>0</v>
      </c>
      <c r="L59" s="33">
        <f t="shared" si="68"/>
        <v>0</v>
      </c>
      <c r="M59" s="26" t="s">
        <v>157</v>
      </c>
      <c r="Z59" s="33">
        <f t="shared" si="69"/>
        <v>0</v>
      </c>
      <c r="AB59" s="33">
        <f t="shared" si="70"/>
        <v>0</v>
      </c>
      <c r="AC59" s="33">
        <f t="shared" si="71"/>
        <v>0</v>
      </c>
      <c r="AD59" s="33">
        <f t="shared" si="72"/>
        <v>0</v>
      </c>
      <c r="AE59" s="33">
        <f t="shared" si="73"/>
        <v>0</v>
      </c>
      <c r="AF59" s="33">
        <f t="shared" si="74"/>
        <v>0</v>
      </c>
      <c r="AG59" s="33">
        <f t="shared" si="75"/>
        <v>0</v>
      </c>
      <c r="AH59" s="33">
        <f t="shared" si="76"/>
        <v>0</v>
      </c>
      <c r="AI59" s="21" t="s">
        <v>284</v>
      </c>
      <c r="AJ59" s="33">
        <f t="shared" si="77"/>
        <v>0</v>
      </c>
      <c r="AK59" s="33">
        <f t="shared" si="78"/>
        <v>0</v>
      </c>
      <c r="AL59" s="33">
        <f t="shared" si="79"/>
        <v>0</v>
      </c>
      <c r="AN59" s="33">
        <v>21</v>
      </c>
      <c r="AO59" s="33">
        <f>I59*0.322</f>
        <v>0</v>
      </c>
      <c r="AP59" s="33">
        <f>I59*(1-0.322)</f>
        <v>0</v>
      </c>
      <c r="AQ59" s="56" t="s">
        <v>396</v>
      </c>
      <c r="AV59" s="33">
        <f t="shared" si="80"/>
        <v>0</v>
      </c>
      <c r="AW59" s="33">
        <f t="shared" si="81"/>
        <v>0</v>
      </c>
      <c r="AX59" s="33">
        <f t="shared" si="82"/>
        <v>0</v>
      </c>
      <c r="AY59" s="56" t="s">
        <v>90</v>
      </c>
      <c r="AZ59" s="56" t="s">
        <v>109</v>
      </c>
      <c r="BA59" s="21" t="s">
        <v>306</v>
      </c>
      <c r="BC59" s="33">
        <f t="shared" si="83"/>
        <v>0</v>
      </c>
      <c r="BD59" s="33">
        <f t="shared" si="84"/>
        <v>0</v>
      </c>
      <c r="BE59" s="33">
        <v>0</v>
      </c>
      <c r="BF59" s="33">
        <f>59</f>
        <v>59</v>
      </c>
      <c r="BH59" s="33">
        <f t="shared" si="85"/>
        <v>0</v>
      </c>
      <c r="BI59" s="33">
        <f t="shared" si="86"/>
        <v>0</v>
      </c>
      <c r="BJ59" s="33">
        <f t="shared" si="87"/>
        <v>0</v>
      </c>
      <c r="BK59" s="33"/>
      <c r="BL59" s="33">
        <v>776</v>
      </c>
    </row>
    <row r="60" spans="1:64" ht="15" customHeight="1">
      <c r="A60" s="9" t="s">
        <v>101</v>
      </c>
      <c r="B60" s="1" t="s">
        <v>107</v>
      </c>
      <c r="C60" s="62" t="s">
        <v>133</v>
      </c>
      <c r="D60" s="62"/>
      <c r="E60" s="62"/>
      <c r="F60" s="62"/>
      <c r="G60" s="1" t="s">
        <v>388</v>
      </c>
      <c r="H60" s="33">
        <v>65</v>
      </c>
      <c r="I60" s="33">
        <v>0</v>
      </c>
      <c r="J60" s="33">
        <f t="shared" si="66"/>
        <v>0</v>
      </c>
      <c r="K60" s="33">
        <f t="shared" si="67"/>
        <v>0</v>
      </c>
      <c r="L60" s="33">
        <f t="shared" si="68"/>
        <v>0</v>
      </c>
      <c r="M60" s="26" t="s">
        <v>157</v>
      </c>
      <c r="Z60" s="33">
        <f t="shared" si="69"/>
        <v>0</v>
      </c>
      <c r="AB60" s="33">
        <f t="shared" si="70"/>
        <v>0</v>
      </c>
      <c r="AC60" s="33">
        <f t="shared" si="71"/>
        <v>0</v>
      </c>
      <c r="AD60" s="33">
        <f t="shared" si="72"/>
        <v>0</v>
      </c>
      <c r="AE60" s="33">
        <f t="shared" si="73"/>
        <v>0</v>
      </c>
      <c r="AF60" s="33">
        <f t="shared" si="74"/>
        <v>0</v>
      </c>
      <c r="AG60" s="33">
        <f t="shared" si="75"/>
        <v>0</v>
      </c>
      <c r="AH60" s="33">
        <f t="shared" si="76"/>
        <v>0</v>
      </c>
      <c r="AI60" s="21" t="s">
        <v>284</v>
      </c>
      <c r="AJ60" s="33">
        <f t="shared" si="77"/>
        <v>0</v>
      </c>
      <c r="AK60" s="33">
        <f t="shared" si="78"/>
        <v>0</v>
      </c>
      <c r="AL60" s="33">
        <f t="shared" si="79"/>
        <v>0</v>
      </c>
      <c r="AN60" s="33">
        <v>21</v>
      </c>
      <c r="AO60" s="33">
        <f>I60*0.698013852112943</f>
        <v>0</v>
      </c>
      <c r="AP60" s="33">
        <f>I60*(1-0.698013852112943)</f>
        <v>0</v>
      </c>
      <c r="AQ60" s="56" t="s">
        <v>396</v>
      </c>
      <c r="AV60" s="33">
        <f t="shared" si="80"/>
        <v>0</v>
      </c>
      <c r="AW60" s="33">
        <f t="shared" si="81"/>
        <v>0</v>
      </c>
      <c r="AX60" s="33">
        <f t="shared" si="82"/>
        <v>0</v>
      </c>
      <c r="AY60" s="56" t="s">
        <v>90</v>
      </c>
      <c r="AZ60" s="56" t="s">
        <v>109</v>
      </c>
      <c r="BA60" s="21" t="s">
        <v>306</v>
      </c>
      <c r="BC60" s="33">
        <f t="shared" si="83"/>
        <v>0</v>
      </c>
      <c r="BD60" s="33">
        <f t="shared" si="84"/>
        <v>0</v>
      </c>
      <c r="BE60" s="33">
        <v>0</v>
      </c>
      <c r="BF60" s="33">
        <f>60</f>
        <v>60</v>
      </c>
      <c r="BH60" s="33">
        <f t="shared" si="85"/>
        <v>0</v>
      </c>
      <c r="BI60" s="33">
        <f t="shared" si="86"/>
        <v>0</v>
      </c>
      <c r="BJ60" s="33">
        <f t="shared" si="87"/>
        <v>0</v>
      </c>
      <c r="BK60" s="33"/>
      <c r="BL60" s="33">
        <v>776</v>
      </c>
    </row>
    <row r="61" spans="1:64" ht="15" customHeight="1">
      <c r="A61" s="9" t="s">
        <v>434</v>
      </c>
      <c r="B61" s="1" t="s">
        <v>95</v>
      </c>
      <c r="C61" s="62" t="s">
        <v>241</v>
      </c>
      <c r="D61" s="62"/>
      <c r="E61" s="62"/>
      <c r="F61" s="62"/>
      <c r="G61" s="1" t="s">
        <v>354</v>
      </c>
      <c r="H61" s="33">
        <v>0.8</v>
      </c>
      <c r="I61" s="33">
        <v>0</v>
      </c>
      <c r="J61" s="33">
        <f t="shared" si="66"/>
        <v>0</v>
      </c>
      <c r="K61" s="33">
        <f t="shared" si="67"/>
        <v>0</v>
      </c>
      <c r="L61" s="33">
        <f t="shared" si="68"/>
        <v>0</v>
      </c>
      <c r="M61" s="26" t="s">
        <v>157</v>
      </c>
      <c r="Z61" s="33">
        <f t="shared" si="69"/>
        <v>0</v>
      </c>
      <c r="AB61" s="33">
        <f t="shared" si="70"/>
        <v>0</v>
      </c>
      <c r="AC61" s="33">
        <f t="shared" si="71"/>
        <v>0</v>
      </c>
      <c r="AD61" s="33">
        <f t="shared" si="72"/>
        <v>0</v>
      </c>
      <c r="AE61" s="33">
        <f t="shared" si="73"/>
        <v>0</v>
      </c>
      <c r="AF61" s="33">
        <f t="shared" si="74"/>
        <v>0</v>
      </c>
      <c r="AG61" s="33">
        <f t="shared" si="75"/>
        <v>0</v>
      </c>
      <c r="AH61" s="33">
        <f t="shared" si="76"/>
        <v>0</v>
      </c>
      <c r="AI61" s="21" t="s">
        <v>284</v>
      </c>
      <c r="AJ61" s="33">
        <f t="shared" si="77"/>
        <v>0</v>
      </c>
      <c r="AK61" s="33">
        <f t="shared" si="78"/>
        <v>0</v>
      </c>
      <c r="AL61" s="33">
        <f t="shared" si="79"/>
        <v>0</v>
      </c>
      <c r="AN61" s="33">
        <v>21</v>
      </c>
      <c r="AO61" s="33">
        <f>I61*0</f>
        <v>0</v>
      </c>
      <c r="AP61" s="33">
        <f>I61*(1-0)</f>
        <v>0</v>
      </c>
      <c r="AQ61" s="56" t="s">
        <v>212</v>
      </c>
      <c r="AV61" s="33">
        <f t="shared" si="80"/>
        <v>0</v>
      </c>
      <c r="AW61" s="33">
        <f t="shared" si="81"/>
        <v>0</v>
      </c>
      <c r="AX61" s="33">
        <f t="shared" si="82"/>
        <v>0</v>
      </c>
      <c r="AY61" s="56" t="s">
        <v>90</v>
      </c>
      <c r="AZ61" s="56" t="s">
        <v>109</v>
      </c>
      <c r="BA61" s="21" t="s">
        <v>306</v>
      </c>
      <c r="BC61" s="33">
        <f t="shared" si="83"/>
        <v>0</v>
      </c>
      <c r="BD61" s="33">
        <f t="shared" si="84"/>
        <v>0</v>
      </c>
      <c r="BE61" s="33">
        <v>0</v>
      </c>
      <c r="BF61" s="33">
        <f>61</f>
        <v>61</v>
      </c>
      <c r="BH61" s="33">
        <f t="shared" si="85"/>
        <v>0</v>
      </c>
      <c r="BI61" s="33">
        <f t="shared" si="86"/>
        <v>0</v>
      </c>
      <c r="BJ61" s="33">
        <f t="shared" si="87"/>
        <v>0</v>
      </c>
      <c r="BK61" s="33"/>
      <c r="BL61" s="33">
        <v>776</v>
      </c>
    </row>
    <row r="62" spans="1:47" ht="15" customHeight="1">
      <c r="A62" s="30" t="s">
        <v>284</v>
      </c>
      <c r="B62" s="42" t="s">
        <v>326</v>
      </c>
      <c r="C62" s="78" t="s">
        <v>182</v>
      </c>
      <c r="D62" s="78"/>
      <c r="E62" s="78"/>
      <c r="F62" s="78"/>
      <c r="G62" s="53" t="s">
        <v>368</v>
      </c>
      <c r="H62" s="53" t="s">
        <v>368</v>
      </c>
      <c r="I62" s="53" t="s">
        <v>368</v>
      </c>
      <c r="J62" s="14">
        <f>SUM(J63:J69)</f>
        <v>0</v>
      </c>
      <c r="K62" s="14">
        <f>SUM(K63:K69)</f>
        <v>0</v>
      </c>
      <c r="L62" s="14">
        <f>SUM(L63:L69)</f>
        <v>0</v>
      </c>
      <c r="M62" s="55" t="s">
        <v>284</v>
      </c>
      <c r="AI62" s="21" t="s">
        <v>284</v>
      </c>
      <c r="AS62" s="14">
        <f>SUM(AJ63:AJ69)</f>
        <v>0</v>
      </c>
      <c r="AT62" s="14">
        <f>SUM(AK63:AK69)</f>
        <v>0</v>
      </c>
      <c r="AU62" s="14">
        <f>SUM(AL63:AL69)</f>
        <v>0</v>
      </c>
    </row>
    <row r="63" spans="1:64" ht="15" customHeight="1">
      <c r="A63" s="9" t="s">
        <v>356</v>
      </c>
      <c r="B63" s="1" t="s">
        <v>297</v>
      </c>
      <c r="C63" s="62" t="s">
        <v>150</v>
      </c>
      <c r="D63" s="62"/>
      <c r="E63" s="62"/>
      <c r="F63" s="62"/>
      <c r="G63" s="1" t="s">
        <v>388</v>
      </c>
      <c r="H63" s="33">
        <v>1.8</v>
      </c>
      <c r="I63" s="33">
        <v>0</v>
      </c>
      <c r="J63" s="33">
        <f>H63*AO63</f>
        <v>0</v>
      </c>
      <c r="K63" s="33">
        <f>H63*AP63</f>
        <v>0</v>
      </c>
      <c r="L63" s="33">
        <f>H63*I63</f>
        <v>0</v>
      </c>
      <c r="M63" s="26" t="s">
        <v>157</v>
      </c>
      <c r="Z63" s="33">
        <f>IF(AQ63="5",BJ63,0)</f>
        <v>0</v>
      </c>
      <c r="AB63" s="33">
        <f>IF(AQ63="1",BH63,0)</f>
        <v>0</v>
      </c>
      <c r="AC63" s="33">
        <f>IF(AQ63="1",BI63,0)</f>
        <v>0</v>
      </c>
      <c r="AD63" s="33">
        <f>IF(AQ63="7",BH63,0)</f>
        <v>0</v>
      </c>
      <c r="AE63" s="33">
        <f>IF(AQ63="7",BI63,0)</f>
        <v>0</v>
      </c>
      <c r="AF63" s="33">
        <f>IF(AQ63="2",BH63,0)</f>
        <v>0</v>
      </c>
      <c r="AG63" s="33">
        <f>IF(AQ63="2",BI63,0)</f>
        <v>0</v>
      </c>
      <c r="AH63" s="33">
        <f>IF(AQ63="0",BJ63,0)</f>
        <v>0</v>
      </c>
      <c r="AI63" s="21" t="s">
        <v>284</v>
      </c>
      <c r="AJ63" s="33">
        <f>IF(AN63=0,L63,0)</f>
        <v>0</v>
      </c>
      <c r="AK63" s="33">
        <f>IF(AN63=15,L63,0)</f>
        <v>0</v>
      </c>
      <c r="AL63" s="33">
        <f>IF(AN63=21,L63,0)</f>
        <v>0</v>
      </c>
      <c r="AN63" s="33">
        <v>21</v>
      </c>
      <c r="AO63" s="33">
        <f>I63*0.130669515669516</f>
        <v>0</v>
      </c>
      <c r="AP63" s="33">
        <f>I63*(1-0.130669515669516)</f>
        <v>0</v>
      </c>
      <c r="AQ63" s="56" t="s">
        <v>396</v>
      </c>
      <c r="AV63" s="33">
        <f>AW63+AX63</f>
        <v>0</v>
      </c>
      <c r="AW63" s="33">
        <f>H63*AO63</f>
        <v>0</v>
      </c>
      <c r="AX63" s="33">
        <f>H63*AP63</f>
        <v>0</v>
      </c>
      <c r="AY63" s="56" t="s">
        <v>189</v>
      </c>
      <c r="AZ63" s="56" t="s">
        <v>184</v>
      </c>
      <c r="BA63" s="21" t="s">
        <v>306</v>
      </c>
      <c r="BC63" s="33">
        <f>AW63+AX63</f>
        <v>0</v>
      </c>
      <c r="BD63" s="33">
        <f>I63/(100-BE63)*100</f>
        <v>0</v>
      </c>
      <c r="BE63" s="33">
        <v>0</v>
      </c>
      <c r="BF63" s="33">
        <f>63</f>
        <v>63</v>
      </c>
      <c r="BH63" s="33">
        <f>H63*AO63</f>
        <v>0</v>
      </c>
      <c r="BI63" s="33">
        <f>H63*AP63</f>
        <v>0</v>
      </c>
      <c r="BJ63" s="33">
        <f>H63*I63</f>
        <v>0</v>
      </c>
      <c r="BK63" s="33"/>
      <c r="BL63" s="33">
        <v>781</v>
      </c>
    </row>
    <row r="64" spans="1:13" ht="15" customHeight="1">
      <c r="A64" s="46"/>
      <c r="C64" s="29" t="s">
        <v>216</v>
      </c>
      <c r="F64" s="29" t="s">
        <v>284</v>
      </c>
      <c r="H64" s="8">
        <v>1.8</v>
      </c>
      <c r="M64" s="38"/>
    </row>
    <row r="65" spans="1:64" ht="15" customHeight="1">
      <c r="A65" s="9" t="s">
        <v>230</v>
      </c>
      <c r="B65" s="1" t="s">
        <v>376</v>
      </c>
      <c r="C65" s="62" t="s">
        <v>20</v>
      </c>
      <c r="D65" s="62"/>
      <c r="E65" s="62"/>
      <c r="F65" s="62"/>
      <c r="G65" s="1" t="s">
        <v>388</v>
      </c>
      <c r="H65" s="33">
        <v>1.8</v>
      </c>
      <c r="I65" s="33">
        <v>0</v>
      </c>
      <c r="J65" s="33">
        <f>H65*AO65</f>
        <v>0</v>
      </c>
      <c r="K65" s="33">
        <f>H65*AP65</f>
        <v>0</v>
      </c>
      <c r="L65" s="33">
        <f>H65*I65</f>
        <v>0</v>
      </c>
      <c r="M65" s="26" t="s">
        <v>157</v>
      </c>
      <c r="Z65" s="33">
        <f>IF(AQ65="5",BJ65,0)</f>
        <v>0</v>
      </c>
      <c r="AB65" s="33">
        <f>IF(AQ65="1",BH65,0)</f>
        <v>0</v>
      </c>
      <c r="AC65" s="33">
        <f>IF(AQ65="1",BI65,0)</f>
        <v>0</v>
      </c>
      <c r="AD65" s="33">
        <f>IF(AQ65="7",BH65,0)</f>
        <v>0</v>
      </c>
      <c r="AE65" s="33">
        <f>IF(AQ65="7",BI65,0)</f>
        <v>0</v>
      </c>
      <c r="AF65" s="33">
        <f>IF(AQ65="2",BH65,0)</f>
        <v>0</v>
      </c>
      <c r="AG65" s="33">
        <f>IF(AQ65="2",BI65,0)</f>
        <v>0</v>
      </c>
      <c r="AH65" s="33">
        <f>IF(AQ65="0",BJ65,0)</f>
        <v>0</v>
      </c>
      <c r="AI65" s="21" t="s">
        <v>284</v>
      </c>
      <c r="AJ65" s="33">
        <f>IF(AN65=0,L65,0)</f>
        <v>0</v>
      </c>
      <c r="AK65" s="33">
        <f>IF(AN65=15,L65,0)</f>
        <v>0</v>
      </c>
      <c r="AL65" s="33">
        <f>IF(AN65=21,L65,0)</f>
        <v>0</v>
      </c>
      <c r="AN65" s="33">
        <v>21</v>
      </c>
      <c r="AO65" s="33">
        <f>I65*0</f>
        <v>0</v>
      </c>
      <c r="AP65" s="33">
        <f>I65*(1-0)</f>
        <v>0</v>
      </c>
      <c r="AQ65" s="56" t="s">
        <v>396</v>
      </c>
      <c r="AV65" s="33">
        <f>AW65+AX65</f>
        <v>0</v>
      </c>
      <c r="AW65" s="33">
        <f>H65*AO65</f>
        <v>0</v>
      </c>
      <c r="AX65" s="33">
        <f>H65*AP65</f>
        <v>0</v>
      </c>
      <c r="AY65" s="56" t="s">
        <v>189</v>
      </c>
      <c r="AZ65" s="56" t="s">
        <v>184</v>
      </c>
      <c r="BA65" s="21" t="s">
        <v>306</v>
      </c>
      <c r="BC65" s="33">
        <f>AW65+AX65</f>
        <v>0</v>
      </c>
      <c r="BD65" s="33">
        <f>I65/(100-BE65)*100</f>
        <v>0</v>
      </c>
      <c r="BE65" s="33">
        <v>0</v>
      </c>
      <c r="BF65" s="33">
        <f>65</f>
        <v>65</v>
      </c>
      <c r="BH65" s="33">
        <f>H65*AO65</f>
        <v>0</v>
      </c>
      <c r="BI65" s="33">
        <f>H65*AP65</f>
        <v>0</v>
      </c>
      <c r="BJ65" s="33">
        <f>H65*I65</f>
        <v>0</v>
      </c>
      <c r="BK65" s="33"/>
      <c r="BL65" s="33">
        <v>781</v>
      </c>
    </row>
    <row r="66" spans="1:13" ht="15" customHeight="1">
      <c r="A66" s="46"/>
      <c r="C66" s="29" t="s">
        <v>216</v>
      </c>
      <c r="F66" s="29" t="s">
        <v>284</v>
      </c>
      <c r="H66" s="8">
        <v>1.8</v>
      </c>
      <c r="M66" s="38"/>
    </row>
    <row r="67" spans="1:64" ht="15" customHeight="1">
      <c r="A67" s="9" t="s">
        <v>386</v>
      </c>
      <c r="B67" s="1" t="s">
        <v>72</v>
      </c>
      <c r="C67" s="62" t="s">
        <v>139</v>
      </c>
      <c r="D67" s="62"/>
      <c r="E67" s="62"/>
      <c r="F67" s="62"/>
      <c r="G67" s="1" t="s">
        <v>388</v>
      </c>
      <c r="H67" s="33">
        <v>1.836</v>
      </c>
      <c r="I67" s="33">
        <v>0</v>
      </c>
      <c r="J67" s="33">
        <f>H67*AO67</f>
        <v>0</v>
      </c>
      <c r="K67" s="33">
        <f>H67*AP67</f>
        <v>0</v>
      </c>
      <c r="L67" s="33">
        <f>H67*I67</f>
        <v>0</v>
      </c>
      <c r="M67" s="26" t="s">
        <v>157</v>
      </c>
      <c r="Z67" s="33">
        <f>IF(AQ67="5",BJ67,0)</f>
        <v>0</v>
      </c>
      <c r="AB67" s="33">
        <f>IF(AQ67="1",BH67,0)</f>
        <v>0</v>
      </c>
      <c r="AC67" s="33">
        <f>IF(AQ67="1",BI67,0)</f>
        <v>0</v>
      </c>
      <c r="AD67" s="33">
        <f>IF(AQ67="7",BH67,0)</f>
        <v>0</v>
      </c>
      <c r="AE67" s="33">
        <f>IF(AQ67="7",BI67,0)</f>
        <v>0</v>
      </c>
      <c r="AF67" s="33">
        <f>IF(AQ67="2",BH67,0)</f>
        <v>0</v>
      </c>
      <c r="AG67" s="33">
        <f>IF(AQ67="2",BI67,0)</f>
        <v>0</v>
      </c>
      <c r="AH67" s="33">
        <f>IF(AQ67="0",BJ67,0)</f>
        <v>0</v>
      </c>
      <c r="AI67" s="21" t="s">
        <v>284</v>
      </c>
      <c r="AJ67" s="33">
        <f>IF(AN67=0,L67,0)</f>
        <v>0</v>
      </c>
      <c r="AK67" s="33">
        <f>IF(AN67=15,L67,0)</f>
        <v>0</v>
      </c>
      <c r="AL67" s="33">
        <f>IF(AN67=21,L67,0)</f>
        <v>0</v>
      </c>
      <c r="AN67" s="33">
        <v>21</v>
      </c>
      <c r="AO67" s="33">
        <f>I67*1</f>
        <v>0</v>
      </c>
      <c r="AP67" s="33">
        <f>I67*(1-1)</f>
        <v>0</v>
      </c>
      <c r="AQ67" s="56" t="s">
        <v>396</v>
      </c>
      <c r="AV67" s="33">
        <f>AW67+AX67</f>
        <v>0</v>
      </c>
      <c r="AW67" s="33">
        <f>H67*AO67</f>
        <v>0</v>
      </c>
      <c r="AX67" s="33">
        <f>H67*AP67</f>
        <v>0</v>
      </c>
      <c r="AY67" s="56" t="s">
        <v>189</v>
      </c>
      <c r="AZ67" s="56" t="s">
        <v>184</v>
      </c>
      <c r="BA67" s="21" t="s">
        <v>306</v>
      </c>
      <c r="BC67" s="33">
        <f>AW67+AX67</f>
        <v>0</v>
      </c>
      <c r="BD67" s="33">
        <f>I67/(100-BE67)*100</f>
        <v>0</v>
      </c>
      <c r="BE67" s="33">
        <v>0</v>
      </c>
      <c r="BF67" s="33">
        <f>67</f>
        <v>67</v>
      </c>
      <c r="BH67" s="33">
        <f>H67*AO67</f>
        <v>0</v>
      </c>
      <c r="BI67" s="33">
        <f>H67*AP67</f>
        <v>0</v>
      </c>
      <c r="BJ67" s="33">
        <f>H67*I67</f>
        <v>0</v>
      </c>
      <c r="BK67" s="33"/>
      <c r="BL67" s="33">
        <v>781</v>
      </c>
    </row>
    <row r="68" spans="1:13" ht="15" customHeight="1">
      <c r="A68" s="46"/>
      <c r="C68" s="29" t="s">
        <v>104</v>
      </c>
      <c r="F68" s="29" t="s">
        <v>284</v>
      </c>
      <c r="H68" s="8">
        <v>1.836</v>
      </c>
      <c r="M68" s="38"/>
    </row>
    <row r="69" spans="1:64" ht="15" customHeight="1">
      <c r="A69" s="9" t="s">
        <v>239</v>
      </c>
      <c r="B69" s="1" t="s">
        <v>146</v>
      </c>
      <c r="C69" s="62" t="s">
        <v>32</v>
      </c>
      <c r="D69" s="62"/>
      <c r="E69" s="62"/>
      <c r="F69" s="62"/>
      <c r="G69" s="1" t="s">
        <v>354</v>
      </c>
      <c r="H69" s="33">
        <v>3.75</v>
      </c>
      <c r="I69" s="33">
        <v>0</v>
      </c>
      <c r="J69" s="33">
        <f>H69*AO69</f>
        <v>0</v>
      </c>
      <c r="K69" s="33">
        <f>H69*AP69</f>
        <v>0</v>
      </c>
      <c r="L69" s="33">
        <f>H69*I69</f>
        <v>0</v>
      </c>
      <c r="M69" s="26" t="s">
        <v>157</v>
      </c>
      <c r="Z69" s="33">
        <f>IF(AQ69="5",BJ69,0)</f>
        <v>0</v>
      </c>
      <c r="AB69" s="33">
        <f>IF(AQ69="1",BH69,0)</f>
        <v>0</v>
      </c>
      <c r="AC69" s="33">
        <f>IF(AQ69="1",BI69,0)</f>
        <v>0</v>
      </c>
      <c r="AD69" s="33">
        <f>IF(AQ69="7",BH69,0)</f>
        <v>0</v>
      </c>
      <c r="AE69" s="33">
        <f>IF(AQ69="7",BI69,0)</f>
        <v>0</v>
      </c>
      <c r="AF69" s="33">
        <f>IF(AQ69="2",BH69,0)</f>
        <v>0</v>
      </c>
      <c r="AG69" s="33">
        <f>IF(AQ69="2",BI69,0)</f>
        <v>0</v>
      </c>
      <c r="AH69" s="33">
        <f>IF(AQ69="0",BJ69,0)</f>
        <v>0</v>
      </c>
      <c r="AI69" s="21" t="s">
        <v>284</v>
      </c>
      <c r="AJ69" s="33">
        <f>IF(AN69=0,L69,0)</f>
        <v>0</v>
      </c>
      <c r="AK69" s="33">
        <f>IF(AN69=15,L69,0)</f>
        <v>0</v>
      </c>
      <c r="AL69" s="33">
        <f>IF(AN69=21,L69,0)</f>
        <v>0</v>
      </c>
      <c r="AN69" s="33">
        <v>21</v>
      </c>
      <c r="AO69" s="33">
        <f>I69*0</f>
        <v>0</v>
      </c>
      <c r="AP69" s="33">
        <f>I69*(1-0)</f>
        <v>0</v>
      </c>
      <c r="AQ69" s="56" t="s">
        <v>212</v>
      </c>
      <c r="AV69" s="33">
        <f>AW69+AX69</f>
        <v>0</v>
      </c>
      <c r="AW69" s="33">
        <f>H69*AO69</f>
        <v>0</v>
      </c>
      <c r="AX69" s="33">
        <f>H69*AP69</f>
        <v>0</v>
      </c>
      <c r="AY69" s="56" t="s">
        <v>189</v>
      </c>
      <c r="AZ69" s="56" t="s">
        <v>184</v>
      </c>
      <c r="BA69" s="21" t="s">
        <v>306</v>
      </c>
      <c r="BC69" s="33">
        <f>AW69+AX69</f>
        <v>0</v>
      </c>
      <c r="BD69" s="33">
        <f>I69/(100-BE69)*100</f>
        <v>0</v>
      </c>
      <c r="BE69" s="33">
        <v>0</v>
      </c>
      <c r="BF69" s="33">
        <f>69</f>
        <v>69</v>
      </c>
      <c r="BH69" s="33">
        <f>H69*AO69</f>
        <v>0</v>
      </c>
      <c r="BI69" s="33">
        <f>H69*AP69</f>
        <v>0</v>
      </c>
      <c r="BJ69" s="33">
        <f>H69*I69</f>
        <v>0</v>
      </c>
      <c r="BK69" s="33"/>
      <c r="BL69" s="33">
        <v>781</v>
      </c>
    </row>
    <row r="70" spans="1:47" ht="15" customHeight="1">
      <c r="A70" s="30" t="s">
        <v>284</v>
      </c>
      <c r="B70" s="42" t="s">
        <v>221</v>
      </c>
      <c r="C70" s="78" t="s">
        <v>5</v>
      </c>
      <c r="D70" s="78"/>
      <c r="E70" s="78"/>
      <c r="F70" s="78"/>
      <c r="G70" s="53" t="s">
        <v>368</v>
      </c>
      <c r="H70" s="53" t="s">
        <v>368</v>
      </c>
      <c r="I70" s="53" t="s">
        <v>368</v>
      </c>
      <c r="J70" s="14">
        <f>SUM(J71:J75)</f>
        <v>0</v>
      </c>
      <c r="K70" s="14">
        <f>SUM(K71:K75)</f>
        <v>0</v>
      </c>
      <c r="L70" s="14">
        <f>SUM(L71:L75)</f>
        <v>0</v>
      </c>
      <c r="M70" s="55" t="s">
        <v>284</v>
      </c>
      <c r="AI70" s="21" t="s">
        <v>284</v>
      </c>
      <c r="AS70" s="14">
        <f>SUM(AJ71:AJ75)</f>
        <v>0</v>
      </c>
      <c r="AT70" s="14">
        <f>SUM(AK71:AK75)</f>
        <v>0</v>
      </c>
      <c r="AU70" s="14">
        <f>SUM(AL71:AL75)</f>
        <v>0</v>
      </c>
    </row>
    <row r="71" spans="1:64" ht="15" customHeight="1">
      <c r="A71" s="9" t="s">
        <v>261</v>
      </c>
      <c r="B71" s="1" t="s">
        <v>117</v>
      </c>
      <c r="C71" s="62" t="s">
        <v>69</v>
      </c>
      <c r="D71" s="62"/>
      <c r="E71" s="62"/>
      <c r="F71" s="62"/>
      <c r="G71" s="1" t="s">
        <v>388</v>
      </c>
      <c r="H71" s="33">
        <v>183.9</v>
      </c>
      <c r="I71" s="33">
        <v>0</v>
      </c>
      <c r="J71" s="33">
        <f>H71*AO71</f>
        <v>0</v>
      </c>
      <c r="K71" s="33">
        <f>H71*AP71</f>
        <v>0</v>
      </c>
      <c r="L71" s="33">
        <f>H71*I71</f>
        <v>0</v>
      </c>
      <c r="M71" s="26" t="s">
        <v>157</v>
      </c>
      <c r="Z71" s="33">
        <f>IF(AQ71="5",BJ71,0)</f>
        <v>0</v>
      </c>
      <c r="AB71" s="33">
        <f>IF(AQ71="1",BH71,0)</f>
        <v>0</v>
      </c>
      <c r="AC71" s="33">
        <f>IF(AQ71="1",BI71,0)</f>
        <v>0</v>
      </c>
      <c r="AD71" s="33">
        <f>IF(AQ71="7",BH71,0)</f>
        <v>0</v>
      </c>
      <c r="AE71" s="33">
        <f>IF(AQ71="7",BI71,0)</f>
        <v>0</v>
      </c>
      <c r="AF71" s="33">
        <f>IF(AQ71="2",BH71,0)</f>
        <v>0</v>
      </c>
      <c r="AG71" s="33">
        <f>IF(AQ71="2",BI71,0)</f>
        <v>0</v>
      </c>
      <c r="AH71" s="33">
        <f>IF(AQ71="0",BJ71,0)</f>
        <v>0</v>
      </c>
      <c r="AI71" s="21" t="s">
        <v>284</v>
      </c>
      <c r="AJ71" s="33">
        <f>IF(AN71=0,L71,0)</f>
        <v>0</v>
      </c>
      <c r="AK71" s="33">
        <f>IF(AN71=15,L71,0)</f>
        <v>0</v>
      </c>
      <c r="AL71" s="33">
        <f>IF(AN71=21,L71,0)</f>
        <v>0</v>
      </c>
      <c r="AN71" s="33">
        <v>21</v>
      </c>
      <c r="AO71" s="33">
        <f>I71*0.275000245546676</f>
        <v>0</v>
      </c>
      <c r="AP71" s="33">
        <f>I71*(1-0.275000245546676)</f>
        <v>0</v>
      </c>
      <c r="AQ71" s="56" t="s">
        <v>396</v>
      </c>
      <c r="AV71" s="33">
        <f>AW71+AX71</f>
        <v>0</v>
      </c>
      <c r="AW71" s="33">
        <f>H71*AO71</f>
        <v>0</v>
      </c>
      <c r="AX71" s="33">
        <f>H71*AP71</f>
        <v>0</v>
      </c>
      <c r="AY71" s="56" t="s">
        <v>355</v>
      </c>
      <c r="AZ71" s="56" t="s">
        <v>184</v>
      </c>
      <c r="BA71" s="21" t="s">
        <v>306</v>
      </c>
      <c r="BC71" s="33">
        <f>AW71+AX71</f>
        <v>0</v>
      </c>
      <c r="BD71" s="33">
        <f>I71/(100-BE71)*100</f>
        <v>0</v>
      </c>
      <c r="BE71" s="33">
        <v>0</v>
      </c>
      <c r="BF71" s="33">
        <f>71</f>
        <v>71</v>
      </c>
      <c r="BH71" s="33">
        <f>H71*AO71</f>
        <v>0</v>
      </c>
      <c r="BI71" s="33">
        <f>H71*AP71</f>
        <v>0</v>
      </c>
      <c r="BJ71" s="33">
        <f>H71*I71</f>
        <v>0</v>
      </c>
      <c r="BK71" s="33"/>
      <c r="BL71" s="33">
        <v>784</v>
      </c>
    </row>
    <row r="72" spans="1:13" ht="15" customHeight="1">
      <c r="A72" s="46"/>
      <c r="C72" s="29" t="s">
        <v>394</v>
      </c>
      <c r="F72" s="29" t="s">
        <v>284</v>
      </c>
      <c r="H72" s="8">
        <v>183.9</v>
      </c>
      <c r="M72" s="38"/>
    </row>
    <row r="73" spans="1:64" ht="15" customHeight="1">
      <c r="A73" s="9" t="s">
        <v>148</v>
      </c>
      <c r="B73" s="1" t="s">
        <v>431</v>
      </c>
      <c r="C73" s="62" t="s">
        <v>44</v>
      </c>
      <c r="D73" s="62"/>
      <c r="E73" s="62"/>
      <c r="F73" s="62"/>
      <c r="G73" s="1" t="s">
        <v>388</v>
      </c>
      <c r="H73" s="33">
        <v>183.9</v>
      </c>
      <c r="I73" s="33">
        <v>0</v>
      </c>
      <c r="J73" s="33">
        <f>H73*AO73</f>
        <v>0</v>
      </c>
      <c r="K73" s="33">
        <f>H73*AP73</f>
        <v>0</v>
      </c>
      <c r="L73" s="33">
        <f>H73*I73</f>
        <v>0</v>
      </c>
      <c r="M73" s="26" t="s">
        <v>157</v>
      </c>
      <c r="Z73" s="33">
        <f>IF(AQ73="5",BJ73,0)</f>
        <v>0</v>
      </c>
      <c r="AB73" s="33">
        <f>IF(AQ73="1",BH73,0)</f>
        <v>0</v>
      </c>
      <c r="AC73" s="33">
        <f>IF(AQ73="1",BI73,0)</f>
        <v>0</v>
      </c>
      <c r="AD73" s="33">
        <f>IF(AQ73="7",BH73,0)</f>
        <v>0</v>
      </c>
      <c r="AE73" s="33">
        <f>IF(AQ73="7",BI73,0)</f>
        <v>0</v>
      </c>
      <c r="AF73" s="33">
        <f>IF(AQ73="2",BH73,0)</f>
        <v>0</v>
      </c>
      <c r="AG73" s="33">
        <f>IF(AQ73="2",BI73,0)</f>
        <v>0</v>
      </c>
      <c r="AH73" s="33">
        <f>IF(AQ73="0",BJ73,0)</f>
        <v>0</v>
      </c>
      <c r="AI73" s="21" t="s">
        <v>284</v>
      </c>
      <c r="AJ73" s="33">
        <f>IF(AN73=0,L73,0)</f>
        <v>0</v>
      </c>
      <c r="AK73" s="33">
        <f>IF(AN73=15,L73,0)</f>
        <v>0</v>
      </c>
      <c r="AL73" s="33">
        <f>IF(AN73=21,L73,0)</f>
        <v>0</v>
      </c>
      <c r="AN73" s="33">
        <v>21</v>
      </c>
      <c r="AO73" s="33">
        <f>I73*0.0941780654887268</f>
        <v>0</v>
      </c>
      <c r="AP73" s="33">
        <f>I73*(1-0.0941780654887268)</f>
        <v>0</v>
      </c>
      <c r="AQ73" s="56" t="s">
        <v>396</v>
      </c>
      <c r="AV73" s="33">
        <f>AW73+AX73</f>
        <v>0</v>
      </c>
      <c r="AW73" s="33">
        <f>H73*AO73</f>
        <v>0</v>
      </c>
      <c r="AX73" s="33">
        <f>H73*AP73</f>
        <v>0</v>
      </c>
      <c r="AY73" s="56" t="s">
        <v>355</v>
      </c>
      <c r="AZ73" s="56" t="s">
        <v>184</v>
      </c>
      <c r="BA73" s="21" t="s">
        <v>306</v>
      </c>
      <c r="BC73" s="33">
        <f>AW73+AX73</f>
        <v>0</v>
      </c>
      <c r="BD73" s="33">
        <f>I73/(100-BE73)*100</f>
        <v>0</v>
      </c>
      <c r="BE73" s="33">
        <v>0</v>
      </c>
      <c r="BF73" s="33">
        <f>73</f>
        <v>73</v>
      </c>
      <c r="BH73" s="33">
        <f>H73*AO73</f>
        <v>0</v>
      </c>
      <c r="BI73" s="33">
        <f>H73*AP73</f>
        <v>0</v>
      </c>
      <c r="BJ73" s="33">
        <f>H73*I73</f>
        <v>0</v>
      </c>
      <c r="BK73" s="33"/>
      <c r="BL73" s="33">
        <v>784</v>
      </c>
    </row>
    <row r="74" spans="1:13" ht="15" customHeight="1">
      <c r="A74" s="46"/>
      <c r="C74" s="29" t="s">
        <v>394</v>
      </c>
      <c r="F74" s="29" t="s">
        <v>284</v>
      </c>
      <c r="H74" s="8">
        <v>183.9</v>
      </c>
      <c r="M74" s="38"/>
    </row>
    <row r="75" spans="1:64" ht="15" customHeight="1">
      <c r="A75" s="9" t="s">
        <v>389</v>
      </c>
      <c r="B75" s="1" t="s">
        <v>23</v>
      </c>
      <c r="C75" s="62" t="s">
        <v>307</v>
      </c>
      <c r="D75" s="62"/>
      <c r="E75" s="62"/>
      <c r="F75" s="62"/>
      <c r="G75" s="1" t="s">
        <v>388</v>
      </c>
      <c r="H75" s="33">
        <v>179.9</v>
      </c>
      <c r="I75" s="33">
        <v>0</v>
      </c>
      <c r="J75" s="33">
        <f>H75*AO75</f>
        <v>0</v>
      </c>
      <c r="K75" s="33">
        <f>H75*AP75</f>
        <v>0</v>
      </c>
      <c r="L75" s="33">
        <f>H75*I75</f>
        <v>0</v>
      </c>
      <c r="M75" s="26" t="s">
        <v>157</v>
      </c>
      <c r="Z75" s="33">
        <f>IF(AQ75="5",BJ75,0)</f>
        <v>0</v>
      </c>
      <c r="AB75" s="33">
        <f>IF(AQ75="1",BH75,0)</f>
        <v>0</v>
      </c>
      <c r="AC75" s="33">
        <f>IF(AQ75="1",BI75,0)</f>
        <v>0</v>
      </c>
      <c r="AD75" s="33">
        <f>IF(AQ75="7",BH75,0)</f>
        <v>0</v>
      </c>
      <c r="AE75" s="33">
        <f>IF(AQ75="7",BI75,0)</f>
        <v>0</v>
      </c>
      <c r="AF75" s="33">
        <f>IF(AQ75="2",BH75,0)</f>
        <v>0</v>
      </c>
      <c r="AG75" s="33">
        <f>IF(AQ75="2",BI75,0)</f>
        <v>0</v>
      </c>
      <c r="AH75" s="33">
        <f>IF(AQ75="0",BJ75,0)</f>
        <v>0</v>
      </c>
      <c r="AI75" s="21" t="s">
        <v>284</v>
      </c>
      <c r="AJ75" s="33">
        <f>IF(AN75=0,L75,0)</f>
        <v>0</v>
      </c>
      <c r="AK75" s="33">
        <f>IF(AN75=15,L75,0)</f>
        <v>0</v>
      </c>
      <c r="AL75" s="33">
        <f>IF(AN75=21,L75,0)</f>
        <v>0</v>
      </c>
      <c r="AN75" s="33">
        <v>21</v>
      </c>
      <c r="AO75" s="33">
        <f>I75*0.00892858830980989</f>
        <v>0</v>
      </c>
      <c r="AP75" s="33">
        <f>I75*(1-0.00892858830980989)</f>
        <v>0</v>
      </c>
      <c r="AQ75" s="56" t="s">
        <v>396</v>
      </c>
      <c r="AV75" s="33">
        <f>AW75+AX75</f>
        <v>0</v>
      </c>
      <c r="AW75" s="33">
        <f>H75*AO75</f>
        <v>0</v>
      </c>
      <c r="AX75" s="33">
        <f>H75*AP75</f>
        <v>0</v>
      </c>
      <c r="AY75" s="56" t="s">
        <v>355</v>
      </c>
      <c r="AZ75" s="56" t="s">
        <v>184</v>
      </c>
      <c r="BA75" s="21" t="s">
        <v>306</v>
      </c>
      <c r="BC75" s="33">
        <f>AW75+AX75</f>
        <v>0</v>
      </c>
      <c r="BD75" s="33">
        <f>I75/(100-BE75)*100</f>
        <v>0</v>
      </c>
      <c r="BE75" s="33">
        <v>0</v>
      </c>
      <c r="BF75" s="33">
        <f>75</f>
        <v>75</v>
      </c>
      <c r="BH75" s="33">
        <f>H75*AO75</f>
        <v>0</v>
      </c>
      <c r="BI75" s="33">
        <f>H75*AP75</f>
        <v>0</v>
      </c>
      <c r="BJ75" s="33">
        <f>H75*I75</f>
        <v>0</v>
      </c>
      <c r="BK75" s="33"/>
      <c r="BL75" s="33">
        <v>784</v>
      </c>
    </row>
    <row r="76" spans="1:13" ht="15" customHeight="1">
      <c r="A76" s="46"/>
      <c r="C76" s="29" t="s">
        <v>243</v>
      </c>
      <c r="F76" s="29" t="s">
        <v>284</v>
      </c>
      <c r="H76" s="8">
        <v>179.9</v>
      </c>
      <c r="M76" s="38"/>
    </row>
    <row r="77" spans="1:47" ht="15" customHeight="1">
      <c r="A77" s="30" t="s">
        <v>284</v>
      </c>
      <c r="B77" s="42" t="s">
        <v>53</v>
      </c>
      <c r="C77" s="78" t="s">
        <v>287</v>
      </c>
      <c r="D77" s="78"/>
      <c r="E77" s="78"/>
      <c r="F77" s="78"/>
      <c r="G77" s="53" t="s">
        <v>368</v>
      </c>
      <c r="H77" s="53" t="s">
        <v>368</v>
      </c>
      <c r="I77" s="53" t="s">
        <v>368</v>
      </c>
      <c r="J77" s="14">
        <f>SUM(J78:J78)</f>
        <v>0</v>
      </c>
      <c r="K77" s="14">
        <f>SUM(K78:K78)</f>
        <v>0</v>
      </c>
      <c r="L77" s="14">
        <f>SUM(L78:L78)</f>
        <v>0</v>
      </c>
      <c r="M77" s="55" t="s">
        <v>284</v>
      </c>
      <c r="AI77" s="21" t="s">
        <v>284</v>
      </c>
      <c r="AS77" s="14">
        <f>SUM(AJ78:AJ78)</f>
        <v>0</v>
      </c>
      <c r="AT77" s="14">
        <f>SUM(AK78:AK78)</f>
        <v>0</v>
      </c>
      <c r="AU77" s="14">
        <f>SUM(AL78:AL78)</f>
        <v>0</v>
      </c>
    </row>
    <row r="78" spans="1:64" ht="15" customHeight="1">
      <c r="A78" s="9" t="s">
        <v>83</v>
      </c>
      <c r="B78" s="1" t="s">
        <v>118</v>
      </c>
      <c r="C78" s="62" t="s">
        <v>143</v>
      </c>
      <c r="D78" s="62"/>
      <c r="E78" s="62"/>
      <c r="F78" s="62"/>
      <c r="G78" s="1" t="s">
        <v>388</v>
      </c>
      <c r="H78" s="33">
        <v>30</v>
      </c>
      <c r="I78" s="33">
        <v>0</v>
      </c>
      <c r="J78" s="33">
        <f>H78*AO78</f>
        <v>0</v>
      </c>
      <c r="K78" s="33">
        <f>H78*AP78</f>
        <v>0</v>
      </c>
      <c r="L78" s="33">
        <f>H78*I78</f>
        <v>0</v>
      </c>
      <c r="M78" s="26" t="s">
        <v>157</v>
      </c>
      <c r="Z78" s="33">
        <f>IF(AQ78="5",BJ78,0)</f>
        <v>0</v>
      </c>
      <c r="AB78" s="33">
        <f>IF(AQ78="1",BH78,0)</f>
        <v>0</v>
      </c>
      <c r="AC78" s="33">
        <f>IF(AQ78="1",BI78,0)</f>
        <v>0</v>
      </c>
      <c r="AD78" s="33">
        <f>IF(AQ78="7",BH78,0)</f>
        <v>0</v>
      </c>
      <c r="AE78" s="33">
        <f>IF(AQ78="7",BI78,0)</f>
        <v>0</v>
      </c>
      <c r="AF78" s="33">
        <f>IF(AQ78="2",BH78,0)</f>
        <v>0</v>
      </c>
      <c r="AG78" s="33">
        <f>IF(AQ78="2",BI78,0)</f>
        <v>0</v>
      </c>
      <c r="AH78" s="33">
        <f>IF(AQ78="0",BJ78,0)</f>
        <v>0</v>
      </c>
      <c r="AI78" s="21" t="s">
        <v>284</v>
      </c>
      <c r="AJ78" s="33">
        <f>IF(AN78=0,L78,0)</f>
        <v>0</v>
      </c>
      <c r="AK78" s="33">
        <f>IF(AN78=15,L78,0)</f>
        <v>0</v>
      </c>
      <c r="AL78" s="33">
        <f>IF(AN78=21,L78,0)</f>
        <v>0</v>
      </c>
      <c r="AN78" s="33">
        <v>21</v>
      </c>
      <c r="AO78" s="33">
        <f>I78*0.327179487179487</f>
        <v>0</v>
      </c>
      <c r="AP78" s="33">
        <f>I78*(1-0.327179487179487)</f>
        <v>0</v>
      </c>
      <c r="AQ78" s="56" t="s">
        <v>395</v>
      </c>
      <c r="AV78" s="33">
        <f>AW78+AX78</f>
        <v>0</v>
      </c>
      <c r="AW78" s="33">
        <f>H78*AO78</f>
        <v>0</v>
      </c>
      <c r="AX78" s="33">
        <f>H78*AP78</f>
        <v>0</v>
      </c>
      <c r="AY78" s="56" t="s">
        <v>429</v>
      </c>
      <c r="AZ78" s="56" t="s">
        <v>151</v>
      </c>
      <c r="BA78" s="21" t="s">
        <v>306</v>
      </c>
      <c r="BC78" s="33">
        <f>AW78+AX78</f>
        <v>0</v>
      </c>
      <c r="BD78" s="33">
        <f>I78/(100-BE78)*100</f>
        <v>0</v>
      </c>
      <c r="BE78" s="33">
        <v>0</v>
      </c>
      <c r="BF78" s="33">
        <f>78</f>
        <v>78</v>
      </c>
      <c r="BH78" s="33">
        <f>H78*AO78</f>
        <v>0</v>
      </c>
      <c r="BI78" s="33">
        <f>H78*AP78</f>
        <v>0</v>
      </c>
      <c r="BJ78" s="33">
        <f>H78*I78</f>
        <v>0</v>
      </c>
      <c r="BK78" s="33"/>
      <c r="BL78" s="33">
        <v>94</v>
      </c>
    </row>
    <row r="79" spans="1:13" ht="15" customHeight="1">
      <c r="A79" s="46"/>
      <c r="C79" s="29" t="s">
        <v>436</v>
      </c>
      <c r="F79" s="29" t="s">
        <v>284</v>
      </c>
      <c r="H79" s="8">
        <v>30.000000000000004</v>
      </c>
      <c r="M79" s="38"/>
    </row>
    <row r="80" spans="1:47" ht="15" customHeight="1">
      <c r="A80" s="30" t="s">
        <v>284</v>
      </c>
      <c r="B80" s="42" t="s">
        <v>160</v>
      </c>
      <c r="C80" s="78" t="s">
        <v>301</v>
      </c>
      <c r="D80" s="78"/>
      <c r="E80" s="78"/>
      <c r="F80" s="78"/>
      <c r="G80" s="53" t="s">
        <v>368</v>
      </c>
      <c r="H80" s="53" t="s">
        <v>368</v>
      </c>
      <c r="I80" s="53" t="s">
        <v>368</v>
      </c>
      <c r="J80" s="14">
        <f>SUM(J81:J81)</f>
        <v>0</v>
      </c>
      <c r="K80" s="14">
        <f>SUM(K81:K81)</f>
        <v>0</v>
      </c>
      <c r="L80" s="14">
        <f>SUM(L81:L81)</f>
        <v>0</v>
      </c>
      <c r="M80" s="55" t="s">
        <v>284</v>
      </c>
      <c r="AI80" s="21" t="s">
        <v>284</v>
      </c>
      <c r="AS80" s="14">
        <f>SUM(AJ81:AJ81)</f>
        <v>0</v>
      </c>
      <c r="AT80" s="14">
        <f>SUM(AK81:AK81)</f>
        <v>0</v>
      </c>
      <c r="AU80" s="14">
        <f>SUM(AL81:AL81)</f>
        <v>0</v>
      </c>
    </row>
    <row r="81" spans="1:64" ht="15" customHeight="1">
      <c r="A81" s="9" t="s">
        <v>138</v>
      </c>
      <c r="B81" s="1" t="s">
        <v>275</v>
      </c>
      <c r="C81" s="62" t="s">
        <v>349</v>
      </c>
      <c r="D81" s="62"/>
      <c r="E81" s="62"/>
      <c r="F81" s="62"/>
      <c r="G81" s="1" t="s">
        <v>112</v>
      </c>
      <c r="H81" s="33">
        <v>100</v>
      </c>
      <c r="I81" s="33">
        <v>0</v>
      </c>
      <c r="J81" s="33">
        <f>H81*AO81</f>
        <v>0</v>
      </c>
      <c r="K81" s="33">
        <f>H81*AP81</f>
        <v>0</v>
      </c>
      <c r="L81" s="33">
        <f>H81*I81</f>
        <v>0</v>
      </c>
      <c r="M81" s="26" t="s">
        <v>157</v>
      </c>
      <c r="Z81" s="33">
        <f>IF(AQ81="5",BJ81,0)</f>
        <v>0</v>
      </c>
      <c r="AB81" s="33">
        <f>IF(AQ81="1",BH81,0)</f>
        <v>0</v>
      </c>
      <c r="AC81" s="33">
        <f>IF(AQ81="1",BI81,0)</f>
        <v>0</v>
      </c>
      <c r="AD81" s="33">
        <f>IF(AQ81="7",BH81,0)</f>
        <v>0</v>
      </c>
      <c r="AE81" s="33">
        <f>IF(AQ81="7",BI81,0)</f>
        <v>0</v>
      </c>
      <c r="AF81" s="33">
        <f>IF(AQ81="2",BH81,0)</f>
        <v>0</v>
      </c>
      <c r="AG81" s="33">
        <f>IF(AQ81="2",BI81,0)</f>
        <v>0</v>
      </c>
      <c r="AH81" s="33">
        <f>IF(AQ81="0",BJ81,0)</f>
        <v>0</v>
      </c>
      <c r="AI81" s="21" t="s">
        <v>284</v>
      </c>
      <c r="AJ81" s="33">
        <f>IF(AN81=0,L81,0)</f>
        <v>0</v>
      </c>
      <c r="AK81" s="33">
        <f>IF(AN81=15,L81,0)</f>
        <v>0</v>
      </c>
      <c r="AL81" s="33">
        <f>IF(AN81=21,L81,0)</f>
        <v>0</v>
      </c>
      <c r="AN81" s="33">
        <v>21</v>
      </c>
      <c r="AO81" s="33">
        <f>I81*0.187232386142468</f>
        <v>0</v>
      </c>
      <c r="AP81" s="33">
        <f>I81*(1-0.187232386142468)</f>
        <v>0</v>
      </c>
      <c r="AQ81" s="56" t="s">
        <v>395</v>
      </c>
      <c r="AV81" s="33">
        <f>AW81+AX81</f>
        <v>0</v>
      </c>
      <c r="AW81" s="33">
        <f>H81*AO81</f>
        <v>0</v>
      </c>
      <c r="AX81" s="33">
        <f>H81*AP81</f>
        <v>0</v>
      </c>
      <c r="AY81" s="56" t="s">
        <v>240</v>
      </c>
      <c r="AZ81" s="56" t="s">
        <v>151</v>
      </c>
      <c r="BA81" s="21" t="s">
        <v>306</v>
      </c>
      <c r="BC81" s="33">
        <f>AW81+AX81</f>
        <v>0</v>
      </c>
      <c r="BD81" s="33">
        <f>I81/(100-BE81)*100</f>
        <v>0</v>
      </c>
      <c r="BE81" s="33">
        <v>0</v>
      </c>
      <c r="BF81" s="33">
        <f>81</f>
        <v>81</v>
      </c>
      <c r="BH81" s="33">
        <f>H81*AO81</f>
        <v>0</v>
      </c>
      <c r="BI81" s="33">
        <f>H81*AP81</f>
        <v>0</v>
      </c>
      <c r="BJ81" s="33">
        <f>H81*I81</f>
        <v>0</v>
      </c>
      <c r="BK81" s="33"/>
      <c r="BL81" s="33">
        <v>95</v>
      </c>
    </row>
    <row r="82" spans="1:47" ht="15" customHeight="1">
      <c r="A82" s="30" t="s">
        <v>284</v>
      </c>
      <c r="B82" s="42" t="s">
        <v>52</v>
      </c>
      <c r="C82" s="78" t="s">
        <v>421</v>
      </c>
      <c r="D82" s="78"/>
      <c r="E82" s="78"/>
      <c r="F82" s="78"/>
      <c r="G82" s="53" t="s">
        <v>368</v>
      </c>
      <c r="H82" s="53" t="s">
        <v>368</v>
      </c>
      <c r="I82" s="53" t="s">
        <v>368</v>
      </c>
      <c r="J82" s="14">
        <f>SUM(J83:J103)</f>
        <v>0</v>
      </c>
      <c r="K82" s="14">
        <f>SUM(K83:K103)</f>
        <v>0</v>
      </c>
      <c r="L82" s="14">
        <f>SUM(L83:L103)</f>
        <v>0</v>
      </c>
      <c r="M82" s="55" t="s">
        <v>284</v>
      </c>
      <c r="AI82" s="21" t="s">
        <v>284</v>
      </c>
      <c r="AS82" s="14">
        <f>SUM(AJ83:AJ103)</f>
        <v>0</v>
      </c>
      <c r="AT82" s="14">
        <f>SUM(AK83:AK103)</f>
        <v>0</v>
      </c>
      <c r="AU82" s="14">
        <f>SUM(AL83:AL103)</f>
        <v>0</v>
      </c>
    </row>
    <row r="83" spans="1:64" ht="15" customHeight="1">
      <c r="A83" s="9" t="s">
        <v>183</v>
      </c>
      <c r="B83" s="1" t="s">
        <v>344</v>
      </c>
      <c r="C83" s="62" t="s">
        <v>404</v>
      </c>
      <c r="D83" s="62"/>
      <c r="E83" s="62"/>
      <c r="F83" s="62"/>
      <c r="G83" s="1" t="s">
        <v>112</v>
      </c>
      <c r="H83" s="33">
        <v>3</v>
      </c>
      <c r="I83" s="33">
        <v>0</v>
      </c>
      <c r="J83" s="33">
        <f>H83*AO83</f>
        <v>0</v>
      </c>
      <c r="K83" s="33">
        <f>H83*AP83</f>
        <v>0</v>
      </c>
      <c r="L83" s="33">
        <f>H83*I83</f>
        <v>0</v>
      </c>
      <c r="M83" s="26" t="s">
        <v>157</v>
      </c>
      <c r="Z83" s="33">
        <f>IF(AQ83="5",BJ83,0)</f>
        <v>0</v>
      </c>
      <c r="AB83" s="33">
        <f>IF(AQ83="1",BH83,0)</f>
        <v>0</v>
      </c>
      <c r="AC83" s="33">
        <f>IF(AQ83="1",BI83,0)</f>
        <v>0</v>
      </c>
      <c r="AD83" s="33">
        <f>IF(AQ83="7",BH83,0)</f>
        <v>0</v>
      </c>
      <c r="AE83" s="33">
        <f>IF(AQ83="7",BI83,0)</f>
        <v>0</v>
      </c>
      <c r="AF83" s="33">
        <f>IF(AQ83="2",BH83,0)</f>
        <v>0</v>
      </c>
      <c r="AG83" s="33">
        <f>IF(AQ83="2",BI83,0)</f>
        <v>0</v>
      </c>
      <c r="AH83" s="33">
        <f>IF(AQ83="0",BJ83,0)</f>
        <v>0</v>
      </c>
      <c r="AI83" s="21" t="s">
        <v>284</v>
      </c>
      <c r="AJ83" s="33">
        <f>IF(AN83=0,L83,0)</f>
        <v>0</v>
      </c>
      <c r="AK83" s="33">
        <f>IF(AN83=15,L83,0)</f>
        <v>0</v>
      </c>
      <c r="AL83" s="33">
        <f>IF(AN83=21,L83,0)</f>
        <v>0</v>
      </c>
      <c r="AN83" s="33">
        <v>21</v>
      </c>
      <c r="AO83" s="33">
        <f>I83*0.0603202299086524</f>
        <v>0</v>
      </c>
      <c r="AP83" s="33">
        <f>I83*(1-0.0603202299086524)</f>
        <v>0</v>
      </c>
      <c r="AQ83" s="56" t="s">
        <v>395</v>
      </c>
      <c r="AV83" s="33">
        <f>AW83+AX83</f>
        <v>0</v>
      </c>
      <c r="AW83" s="33">
        <f>H83*AO83</f>
        <v>0</v>
      </c>
      <c r="AX83" s="33">
        <f>H83*AP83</f>
        <v>0</v>
      </c>
      <c r="AY83" s="56" t="s">
        <v>130</v>
      </c>
      <c r="AZ83" s="56" t="s">
        <v>151</v>
      </c>
      <c r="BA83" s="21" t="s">
        <v>306</v>
      </c>
      <c r="BC83" s="33">
        <f>AW83+AX83</f>
        <v>0</v>
      </c>
      <c r="BD83" s="33">
        <f>I83/(100-BE83)*100</f>
        <v>0</v>
      </c>
      <c r="BE83" s="33">
        <v>0</v>
      </c>
      <c r="BF83" s="33">
        <f>83</f>
        <v>83</v>
      </c>
      <c r="BH83" s="33">
        <f>H83*AO83</f>
        <v>0</v>
      </c>
      <c r="BI83" s="33">
        <f>H83*AP83</f>
        <v>0</v>
      </c>
      <c r="BJ83" s="33">
        <f>H83*I83</f>
        <v>0</v>
      </c>
      <c r="BK83" s="33"/>
      <c r="BL83" s="33">
        <v>97</v>
      </c>
    </row>
    <row r="84" spans="1:13" ht="15" customHeight="1">
      <c r="A84" s="46"/>
      <c r="C84" s="29" t="s">
        <v>327</v>
      </c>
      <c r="F84" s="29" t="s">
        <v>284</v>
      </c>
      <c r="H84" s="8">
        <v>3.0000000000000004</v>
      </c>
      <c r="M84" s="38"/>
    </row>
    <row r="85" spans="1:64" ht="15" customHeight="1">
      <c r="A85" s="9" t="s">
        <v>147</v>
      </c>
      <c r="B85" s="1" t="s">
        <v>260</v>
      </c>
      <c r="C85" s="62" t="s">
        <v>93</v>
      </c>
      <c r="D85" s="62"/>
      <c r="E85" s="62"/>
      <c r="F85" s="62"/>
      <c r="G85" s="1" t="s">
        <v>335</v>
      </c>
      <c r="H85" s="33">
        <v>3</v>
      </c>
      <c r="I85" s="33">
        <v>0</v>
      </c>
      <c r="J85" s="33">
        <f>H85*AO85</f>
        <v>0</v>
      </c>
      <c r="K85" s="33">
        <f>H85*AP85</f>
        <v>0</v>
      </c>
      <c r="L85" s="33">
        <f>H85*I85</f>
        <v>0</v>
      </c>
      <c r="M85" s="26" t="s">
        <v>157</v>
      </c>
      <c r="Z85" s="33">
        <f>IF(AQ85="5",BJ85,0)</f>
        <v>0</v>
      </c>
      <c r="AB85" s="33">
        <f>IF(AQ85="1",BH85,0)</f>
        <v>0</v>
      </c>
      <c r="AC85" s="33">
        <f>IF(AQ85="1",BI85,0)</f>
        <v>0</v>
      </c>
      <c r="AD85" s="33">
        <f>IF(AQ85="7",BH85,0)</f>
        <v>0</v>
      </c>
      <c r="AE85" s="33">
        <f>IF(AQ85="7",BI85,0)</f>
        <v>0</v>
      </c>
      <c r="AF85" s="33">
        <f>IF(AQ85="2",BH85,0)</f>
        <v>0</v>
      </c>
      <c r="AG85" s="33">
        <f>IF(AQ85="2",BI85,0)</f>
        <v>0</v>
      </c>
      <c r="AH85" s="33">
        <f>IF(AQ85="0",BJ85,0)</f>
        <v>0</v>
      </c>
      <c r="AI85" s="21" t="s">
        <v>284</v>
      </c>
      <c r="AJ85" s="33">
        <f>IF(AN85=0,L85,0)</f>
        <v>0</v>
      </c>
      <c r="AK85" s="33">
        <f>IF(AN85=15,L85,0)</f>
        <v>0</v>
      </c>
      <c r="AL85" s="33">
        <f>IF(AN85=21,L85,0)</f>
        <v>0</v>
      </c>
      <c r="AN85" s="33">
        <v>21</v>
      </c>
      <c r="AO85" s="33">
        <f>I85*0.359728813559322</f>
        <v>0</v>
      </c>
      <c r="AP85" s="33">
        <f>I85*(1-0.359728813559322)</f>
        <v>0</v>
      </c>
      <c r="AQ85" s="56" t="s">
        <v>395</v>
      </c>
      <c r="AV85" s="33">
        <f>AW85+AX85</f>
        <v>0</v>
      </c>
      <c r="AW85" s="33">
        <f>H85*AO85</f>
        <v>0</v>
      </c>
      <c r="AX85" s="33">
        <f>H85*AP85</f>
        <v>0</v>
      </c>
      <c r="AY85" s="56" t="s">
        <v>130</v>
      </c>
      <c r="AZ85" s="56" t="s">
        <v>151</v>
      </c>
      <c r="BA85" s="21" t="s">
        <v>306</v>
      </c>
      <c r="BC85" s="33">
        <f>AW85+AX85</f>
        <v>0</v>
      </c>
      <c r="BD85" s="33">
        <f>I85/(100-BE85)*100</f>
        <v>0</v>
      </c>
      <c r="BE85" s="33">
        <v>0</v>
      </c>
      <c r="BF85" s="33">
        <f>85</f>
        <v>85</v>
      </c>
      <c r="BH85" s="33">
        <f>H85*AO85</f>
        <v>0</v>
      </c>
      <c r="BI85" s="33">
        <f>H85*AP85</f>
        <v>0</v>
      </c>
      <c r="BJ85" s="33">
        <f>H85*I85</f>
        <v>0</v>
      </c>
      <c r="BK85" s="33"/>
      <c r="BL85" s="33">
        <v>97</v>
      </c>
    </row>
    <row r="86" spans="1:13" ht="15" customHeight="1">
      <c r="A86" s="46"/>
      <c r="C86" s="29" t="s">
        <v>97</v>
      </c>
      <c r="F86" s="29" t="s">
        <v>284</v>
      </c>
      <c r="H86" s="8">
        <v>3.0000000000000004</v>
      </c>
      <c r="M86" s="38"/>
    </row>
    <row r="87" spans="1:64" ht="15" customHeight="1">
      <c r="A87" s="9" t="s">
        <v>325</v>
      </c>
      <c r="B87" s="1" t="s">
        <v>346</v>
      </c>
      <c r="C87" s="62" t="s">
        <v>156</v>
      </c>
      <c r="D87" s="62"/>
      <c r="E87" s="62"/>
      <c r="F87" s="62"/>
      <c r="G87" s="1" t="s">
        <v>335</v>
      </c>
      <c r="H87" s="33">
        <v>3</v>
      </c>
      <c r="I87" s="33">
        <v>0</v>
      </c>
      <c r="J87" s="33">
        <f>H87*AO87</f>
        <v>0</v>
      </c>
      <c r="K87" s="33">
        <f>H87*AP87</f>
        <v>0</v>
      </c>
      <c r="L87" s="33">
        <f>H87*I87</f>
        <v>0</v>
      </c>
      <c r="M87" s="26" t="s">
        <v>157</v>
      </c>
      <c r="Z87" s="33">
        <f>IF(AQ87="5",BJ87,0)</f>
        <v>0</v>
      </c>
      <c r="AB87" s="33">
        <f>IF(AQ87="1",BH87,0)</f>
        <v>0</v>
      </c>
      <c r="AC87" s="33">
        <f>IF(AQ87="1",BI87,0)</f>
        <v>0</v>
      </c>
      <c r="AD87" s="33">
        <f>IF(AQ87="7",BH87,0)</f>
        <v>0</v>
      </c>
      <c r="AE87" s="33">
        <f>IF(AQ87="7",BI87,0)</f>
        <v>0</v>
      </c>
      <c r="AF87" s="33">
        <f>IF(AQ87="2",BH87,0)</f>
        <v>0</v>
      </c>
      <c r="AG87" s="33">
        <f>IF(AQ87="2",BI87,0)</f>
        <v>0</v>
      </c>
      <c r="AH87" s="33">
        <f>IF(AQ87="0",BJ87,0)</f>
        <v>0</v>
      </c>
      <c r="AI87" s="21" t="s">
        <v>284</v>
      </c>
      <c r="AJ87" s="33">
        <f>IF(AN87=0,L87,0)</f>
        <v>0</v>
      </c>
      <c r="AK87" s="33">
        <f>IF(AN87=15,L87,0)</f>
        <v>0</v>
      </c>
      <c r="AL87" s="33">
        <f>IF(AN87=21,L87,0)</f>
        <v>0</v>
      </c>
      <c r="AN87" s="33">
        <v>21</v>
      </c>
      <c r="AO87" s="33">
        <f>I87*0.276305920968716</f>
        <v>0</v>
      </c>
      <c r="AP87" s="33">
        <f>I87*(1-0.276305920968716)</f>
        <v>0</v>
      </c>
      <c r="AQ87" s="56" t="s">
        <v>395</v>
      </c>
      <c r="AV87" s="33">
        <f>AW87+AX87</f>
        <v>0</v>
      </c>
      <c r="AW87" s="33">
        <f>H87*AO87</f>
        <v>0</v>
      </c>
      <c r="AX87" s="33">
        <f>H87*AP87</f>
        <v>0</v>
      </c>
      <c r="AY87" s="56" t="s">
        <v>130</v>
      </c>
      <c r="AZ87" s="56" t="s">
        <v>151</v>
      </c>
      <c r="BA87" s="21" t="s">
        <v>306</v>
      </c>
      <c r="BC87" s="33">
        <f>AW87+AX87</f>
        <v>0</v>
      </c>
      <c r="BD87" s="33">
        <f>I87/(100-BE87)*100</f>
        <v>0</v>
      </c>
      <c r="BE87" s="33">
        <v>0</v>
      </c>
      <c r="BF87" s="33">
        <f>87</f>
        <v>87</v>
      </c>
      <c r="BH87" s="33">
        <f>H87*AO87</f>
        <v>0</v>
      </c>
      <c r="BI87" s="33">
        <f>H87*AP87</f>
        <v>0</v>
      </c>
      <c r="BJ87" s="33">
        <f>H87*I87</f>
        <v>0</v>
      </c>
      <c r="BK87" s="33"/>
      <c r="BL87" s="33">
        <v>97</v>
      </c>
    </row>
    <row r="88" spans="1:13" ht="15" customHeight="1">
      <c r="A88" s="46"/>
      <c r="C88" s="29" t="s">
        <v>97</v>
      </c>
      <c r="F88" s="29" t="s">
        <v>284</v>
      </c>
      <c r="H88" s="8">
        <v>3.0000000000000004</v>
      </c>
      <c r="M88" s="38"/>
    </row>
    <row r="89" spans="1:64" ht="15" customHeight="1">
      <c r="A89" s="9" t="s">
        <v>410</v>
      </c>
      <c r="B89" s="1" t="s">
        <v>131</v>
      </c>
      <c r="C89" s="62" t="s">
        <v>409</v>
      </c>
      <c r="D89" s="62"/>
      <c r="E89" s="62"/>
      <c r="F89" s="62"/>
      <c r="G89" s="1" t="s">
        <v>335</v>
      </c>
      <c r="H89" s="33">
        <v>1</v>
      </c>
      <c r="I89" s="33">
        <v>0</v>
      </c>
      <c r="J89" s="33">
        <f>H89*AO89</f>
        <v>0</v>
      </c>
      <c r="K89" s="33">
        <f>H89*AP89</f>
        <v>0</v>
      </c>
      <c r="L89" s="33">
        <f>H89*I89</f>
        <v>0</v>
      </c>
      <c r="M89" s="26" t="s">
        <v>157</v>
      </c>
      <c r="Z89" s="33">
        <f>IF(AQ89="5",BJ89,0)</f>
        <v>0</v>
      </c>
      <c r="AB89" s="33">
        <f>IF(AQ89="1",BH89,0)</f>
        <v>0</v>
      </c>
      <c r="AC89" s="33">
        <f>IF(AQ89="1",BI89,0)</f>
        <v>0</v>
      </c>
      <c r="AD89" s="33">
        <f>IF(AQ89="7",BH89,0)</f>
        <v>0</v>
      </c>
      <c r="AE89" s="33">
        <f>IF(AQ89="7",BI89,0)</f>
        <v>0</v>
      </c>
      <c r="AF89" s="33">
        <f>IF(AQ89="2",BH89,0)</f>
        <v>0</v>
      </c>
      <c r="AG89" s="33">
        <f>IF(AQ89="2",BI89,0)</f>
        <v>0</v>
      </c>
      <c r="AH89" s="33">
        <f>IF(AQ89="0",BJ89,0)</f>
        <v>0</v>
      </c>
      <c r="AI89" s="21" t="s">
        <v>284</v>
      </c>
      <c r="AJ89" s="33">
        <f>IF(AN89=0,L89,0)</f>
        <v>0</v>
      </c>
      <c r="AK89" s="33">
        <f>IF(AN89=15,L89,0)</f>
        <v>0</v>
      </c>
      <c r="AL89" s="33">
        <f>IF(AN89=21,L89,0)</f>
        <v>0</v>
      </c>
      <c r="AN89" s="33">
        <v>21</v>
      </c>
      <c r="AO89" s="33">
        <f>I89*0.368837528604119</f>
        <v>0</v>
      </c>
      <c r="AP89" s="33">
        <f>I89*(1-0.368837528604119)</f>
        <v>0</v>
      </c>
      <c r="AQ89" s="56" t="s">
        <v>395</v>
      </c>
      <c r="AV89" s="33">
        <f>AW89+AX89</f>
        <v>0</v>
      </c>
      <c r="AW89" s="33">
        <f>H89*AO89</f>
        <v>0</v>
      </c>
      <c r="AX89" s="33">
        <f>H89*AP89</f>
        <v>0</v>
      </c>
      <c r="AY89" s="56" t="s">
        <v>130</v>
      </c>
      <c r="AZ89" s="56" t="s">
        <v>151</v>
      </c>
      <c r="BA89" s="21" t="s">
        <v>306</v>
      </c>
      <c r="BC89" s="33">
        <f>AW89+AX89</f>
        <v>0</v>
      </c>
      <c r="BD89" s="33">
        <f>I89/(100-BE89)*100</f>
        <v>0</v>
      </c>
      <c r="BE89" s="33">
        <v>0</v>
      </c>
      <c r="BF89" s="33">
        <f>89</f>
        <v>89</v>
      </c>
      <c r="BH89" s="33">
        <f>H89*AO89</f>
        <v>0</v>
      </c>
      <c r="BI89" s="33">
        <f>H89*AP89</f>
        <v>0</v>
      </c>
      <c r="BJ89" s="33">
        <f>H89*I89</f>
        <v>0</v>
      </c>
      <c r="BK89" s="33"/>
      <c r="BL89" s="33">
        <v>97</v>
      </c>
    </row>
    <row r="90" spans="1:13" ht="15" customHeight="1">
      <c r="A90" s="46"/>
      <c r="C90" s="29" t="s">
        <v>164</v>
      </c>
      <c r="F90" s="29" t="s">
        <v>284</v>
      </c>
      <c r="H90" s="8">
        <v>1</v>
      </c>
      <c r="M90" s="38"/>
    </row>
    <row r="91" spans="1:64" ht="15" customHeight="1">
      <c r="A91" s="9" t="s">
        <v>27</v>
      </c>
      <c r="B91" s="1" t="s">
        <v>378</v>
      </c>
      <c r="C91" s="62" t="s">
        <v>176</v>
      </c>
      <c r="D91" s="62"/>
      <c r="E91" s="62"/>
      <c r="F91" s="62"/>
      <c r="G91" s="1" t="s">
        <v>335</v>
      </c>
      <c r="H91" s="33">
        <v>1</v>
      </c>
      <c r="I91" s="33">
        <v>0</v>
      </c>
      <c r="J91" s="33">
        <f>H91*AO91</f>
        <v>0</v>
      </c>
      <c r="K91" s="33">
        <f>H91*AP91</f>
        <v>0</v>
      </c>
      <c r="L91" s="33">
        <f>H91*I91</f>
        <v>0</v>
      </c>
      <c r="M91" s="26" t="s">
        <v>157</v>
      </c>
      <c r="Z91" s="33">
        <f>IF(AQ91="5",BJ91,0)</f>
        <v>0</v>
      </c>
      <c r="AB91" s="33">
        <f>IF(AQ91="1",BH91,0)</f>
        <v>0</v>
      </c>
      <c r="AC91" s="33">
        <f>IF(AQ91="1",BI91,0)</f>
        <v>0</v>
      </c>
      <c r="AD91" s="33">
        <f>IF(AQ91="7",BH91,0)</f>
        <v>0</v>
      </c>
      <c r="AE91" s="33">
        <f>IF(AQ91="7",BI91,0)</f>
        <v>0</v>
      </c>
      <c r="AF91" s="33">
        <f>IF(AQ91="2",BH91,0)</f>
        <v>0</v>
      </c>
      <c r="AG91" s="33">
        <f>IF(AQ91="2",BI91,0)</f>
        <v>0</v>
      </c>
      <c r="AH91" s="33">
        <f>IF(AQ91="0",BJ91,0)</f>
        <v>0</v>
      </c>
      <c r="AI91" s="21" t="s">
        <v>284</v>
      </c>
      <c r="AJ91" s="33">
        <f>IF(AN91=0,L91,0)</f>
        <v>0</v>
      </c>
      <c r="AK91" s="33">
        <f>IF(AN91=15,L91,0)</f>
        <v>0</v>
      </c>
      <c r="AL91" s="33">
        <f>IF(AN91=21,L91,0)</f>
        <v>0</v>
      </c>
      <c r="AN91" s="33">
        <v>21</v>
      </c>
      <c r="AO91" s="33">
        <f>I91*0.294580396869215</f>
        <v>0</v>
      </c>
      <c r="AP91" s="33">
        <f>I91*(1-0.294580396869215)</f>
        <v>0</v>
      </c>
      <c r="AQ91" s="56" t="s">
        <v>395</v>
      </c>
      <c r="AV91" s="33">
        <f>AW91+AX91</f>
        <v>0</v>
      </c>
      <c r="AW91" s="33">
        <f>H91*AO91</f>
        <v>0</v>
      </c>
      <c r="AX91" s="33">
        <f>H91*AP91</f>
        <v>0</v>
      </c>
      <c r="AY91" s="56" t="s">
        <v>130</v>
      </c>
      <c r="AZ91" s="56" t="s">
        <v>151</v>
      </c>
      <c r="BA91" s="21" t="s">
        <v>306</v>
      </c>
      <c r="BC91" s="33">
        <f>AW91+AX91</f>
        <v>0</v>
      </c>
      <c r="BD91" s="33">
        <f>I91/(100-BE91)*100</f>
        <v>0</v>
      </c>
      <c r="BE91" s="33">
        <v>0</v>
      </c>
      <c r="BF91" s="33">
        <f>91</f>
        <v>91</v>
      </c>
      <c r="BH91" s="33">
        <f>H91*AO91</f>
        <v>0</v>
      </c>
      <c r="BI91" s="33">
        <f>H91*AP91</f>
        <v>0</v>
      </c>
      <c r="BJ91" s="33">
        <f>H91*I91</f>
        <v>0</v>
      </c>
      <c r="BK91" s="33"/>
      <c r="BL91" s="33">
        <v>97</v>
      </c>
    </row>
    <row r="92" spans="1:13" ht="15" customHeight="1">
      <c r="A92" s="46"/>
      <c r="C92" s="29" t="s">
        <v>254</v>
      </c>
      <c r="F92" s="29" t="s">
        <v>284</v>
      </c>
      <c r="H92" s="8">
        <v>1</v>
      </c>
      <c r="M92" s="38"/>
    </row>
    <row r="93" spans="1:64" ht="15" customHeight="1">
      <c r="A93" s="9" t="s">
        <v>312</v>
      </c>
      <c r="B93" s="1" t="s">
        <v>153</v>
      </c>
      <c r="C93" s="62" t="s">
        <v>338</v>
      </c>
      <c r="D93" s="62"/>
      <c r="E93" s="62"/>
      <c r="F93" s="62"/>
      <c r="G93" s="1" t="s">
        <v>388</v>
      </c>
      <c r="H93" s="33">
        <v>1.8</v>
      </c>
      <c r="I93" s="33">
        <v>0</v>
      </c>
      <c r="J93" s="33">
        <f>H93*AO93</f>
        <v>0</v>
      </c>
      <c r="K93" s="33">
        <f>H93*AP93</f>
        <v>0</v>
      </c>
      <c r="L93" s="33">
        <f>H93*I93</f>
        <v>0</v>
      </c>
      <c r="M93" s="26" t="s">
        <v>157</v>
      </c>
      <c r="Z93" s="33">
        <f>IF(AQ93="5",BJ93,0)</f>
        <v>0</v>
      </c>
      <c r="AB93" s="33">
        <f>IF(AQ93="1",BH93,0)</f>
        <v>0</v>
      </c>
      <c r="AC93" s="33">
        <f>IF(AQ93="1",BI93,0)</f>
        <v>0</v>
      </c>
      <c r="AD93" s="33">
        <f>IF(AQ93="7",BH93,0)</f>
        <v>0</v>
      </c>
      <c r="AE93" s="33">
        <f>IF(AQ93="7",BI93,0)</f>
        <v>0</v>
      </c>
      <c r="AF93" s="33">
        <f>IF(AQ93="2",BH93,0)</f>
        <v>0</v>
      </c>
      <c r="AG93" s="33">
        <f>IF(AQ93="2",BI93,0)</f>
        <v>0</v>
      </c>
      <c r="AH93" s="33">
        <f>IF(AQ93="0",BJ93,0)</f>
        <v>0</v>
      </c>
      <c r="AI93" s="21" t="s">
        <v>284</v>
      </c>
      <c r="AJ93" s="33">
        <f>IF(AN93=0,L93,0)</f>
        <v>0</v>
      </c>
      <c r="AK93" s="33">
        <f>IF(AN93=15,L93,0)</f>
        <v>0</v>
      </c>
      <c r="AL93" s="33">
        <f>IF(AN93=21,L93,0)</f>
        <v>0</v>
      </c>
      <c r="AN93" s="33">
        <v>21</v>
      </c>
      <c r="AO93" s="33">
        <f>I93*0</f>
        <v>0</v>
      </c>
      <c r="AP93" s="33">
        <f>I93*(1-0)</f>
        <v>0</v>
      </c>
      <c r="AQ93" s="56" t="s">
        <v>395</v>
      </c>
      <c r="AV93" s="33">
        <f>AW93+AX93</f>
        <v>0</v>
      </c>
      <c r="AW93" s="33">
        <f>H93*AO93</f>
        <v>0</v>
      </c>
      <c r="AX93" s="33">
        <f>H93*AP93</f>
        <v>0</v>
      </c>
      <c r="AY93" s="56" t="s">
        <v>130</v>
      </c>
      <c r="AZ93" s="56" t="s">
        <v>151</v>
      </c>
      <c r="BA93" s="21" t="s">
        <v>306</v>
      </c>
      <c r="BC93" s="33">
        <f>AW93+AX93</f>
        <v>0</v>
      </c>
      <c r="BD93" s="33">
        <f>I93/(100-BE93)*100</f>
        <v>0</v>
      </c>
      <c r="BE93" s="33">
        <v>0</v>
      </c>
      <c r="BF93" s="33">
        <f>93</f>
        <v>93</v>
      </c>
      <c r="BH93" s="33">
        <f>H93*AO93</f>
        <v>0</v>
      </c>
      <c r="BI93" s="33">
        <f>H93*AP93</f>
        <v>0</v>
      </c>
      <c r="BJ93" s="33">
        <f>H93*I93</f>
        <v>0</v>
      </c>
      <c r="BK93" s="33"/>
      <c r="BL93" s="33">
        <v>97</v>
      </c>
    </row>
    <row r="94" spans="1:13" ht="15" customHeight="1">
      <c r="A94" s="46"/>
      <c r="C94" s="29" t="s">
        <v>237</v>
      </c>
      <c r="F94" s="29" t="s">
        <v>284</v>
      </c>
      <c r="H94" s="8">
        <v>1.8</v>
      </c>
      <c r="M94" s="38"/>
    </row>
    <row r="95" spans="1:64" ht="15" customHeight="1">
      <c r="A95" s="9" t="s">
        <v>333</v>
      </c>
      <c r="B95" s="1" t="s">
        <v>198</v>
      </c>
      <c r="C95" s="62" t="s">
        <v>337</v>
      </c>
      <c r="D95" s="62"/>
      <c r="E95" s="62"/>
      <c r="F95" s="62"/>
      <c r="G95" s="1" t="s">
        <v>335</v>
      </c>
      <c r="H95" s="33">
        <v>30</v>
      </c>
      <c r="I95" s="33">
        <v>0</v>
      </c>
      <c r="J95" s="33">
        <f>H95*AO95</f>
        <v>0</v>
      </c>
      <c r="K95" s="33">
        <f>H95*AP95</f>
        <v>0</v>
      </c>
      <c r="L95" s="33">
        <f>H95*I95</f>
        <v>0</v>
      </c>
      <c r="M95" s="26" t="s">
        <v>157</v>
      </c>
      <c r="Z95" s="33">
        <f>IF(AQ95="5",BJ95,0)</f>
        <v>0</v>
      </c>
      <c r="AB95" s="33">
        <f>IF(AQ95="1",BH95,0)</f>
        <v>0</v>
      </c>
      <c r="AC95" s="33">
        <f>IF(AQ95="1",BI95,0)</f>
        <v>0</v>
      </c>
      <c r="AD95" s="33">
        <f>IF(AQ95="7",BH95,0)</f>
        <v>0</v>
      </c>
      <c r="AE95" s="33">
        <f>IF(AQ95="7",BI95,0)</f>
        <v>0</v>
      </c>
      <c r="AF95" s="33">
        <f>IF(AQ95="2",BH95,0)</f>
        <v>0</v>
      </c>
      <c r="AG95" s="33">
        <f>IF(AQ95="2",BI95,0)</f>
        <v>0</v>
      </c>
      <c r="AH95" s="33">
        <f>IF(AQ95="0",BJ95,0)</f>
        <v>0</v>
      </c>
      <c r="AI95" s="21" t="s">
        <v>284</v>
      </c>
      <c r="AJ95" s="33">
        <f>IF(AN95=0,L95,0)</f>
        <v>0</v>
      </c>
      <c r="AK95" s="33">
        <f>IF(AN95=15,L95,0)</f>
        <v>0</v>
      </c>
      <c r="AL95" s="33">
        <f>IF(AN95=21,L95,0)</f>
        <v>0</v>
      </c>
      <c r="AN95" s="33">
        <v>21</v>
      </c>
      <c r="AO95" s="33">
        <f>I95*0.0770546213293276</f>
        <v>0</v>
      </c>
      <c r="AP95" s="33">
        <f>I95*(1-0.0770546213293276)</f>
        <v>0</v>
      </c>
      <c r="AQ95" s="56" t="s">
        <v>395</v>
      </c>
      <c r="AV95" s="33">
        <f>AW95+AX95</f>
        <v>0</v>
      </c>
      <c r="AW95" s="33">
        <f>H95*AO95</f>
        <v>0</v>
      </c>
      <c r="AX95" s="33">
        <f>H95*AP95</f>
        <v>0</v>
      </c>
      <c r="AY95" s="56" t="s">
        <v>130</v>
      </c>
      <c r="AZ95" s="56" t="s">
        <v>151</v>
      </c>
      <c r="BA95" s="21" t="s">
        <v>306</v>
      </c>
      <c r="BC95" s="33">
        <f>AW95+AX95</f>
        <v>0</v>
      </c>
      <c r="BD95" s="33">
        <f>I95/(100-BE95)*100</f>
        <v>0</v>
      </c>
      <c r="BE95" s="33">
        <v>0</v>
      </c>
      <c r="BF95" s="33">
        <f>95</f>
        <v>95</v>
      </c>
      <c r="BH95" s="33">
        <f>H95*AO95</f>
        <v>0</v>
      </c>
      <c r="BI95" s="33">
        <f>H95*AP95</f>
        <v>0</v>
      </c>
      <c r="BJ95" s="33">
        <f>H95*I95</f>
        <v>0</v>
      </c>
      <c r="BK95" s="33"/>
      <c r="BL95" s="33">
        <v>97</v>
      </c>
    </row>
    <row r="96" spans="1:13" ht="15" customHeight="1">
      <c r="A96" s="46"/>
      <c r="C96" s="29" t="s">
        <v>185</v>
      </c>
      <c r="F96" s="29" t="s">
        <v>284</v>
      </c>
      <c r="H96" s="8">
        <v>30.000000000000004</v>
      </c>
      <c r="M96" s="38"/>
    </row>
    <row r="97" spans="1:64" ht="15" customHeight="1">
      <c r="A97" s="9" t="s">
        <v>178</v>
      </c>
      <c r="B97" s="1" t="s">
        <v>6</v>
      </c>
      <c r="C97" s="62" t="s">
        <v>88</v>
      </c>
      <c r="D97" s="62"/>
      <c r="E97" s="62"/>
      <c r="F97" s="62"/>
      <c r="G97" s="1" t="s">
        <v>335</v>
      </c>
      <c r="H97" s="33">
        <v>2</v>
      </c>
      <c r="I97" s="33">
        <v>0</v>
      </c>
      <c r="J97" s="33">
        <f>H97*AO97</f>
        <v>0</v>
      </c>
      <c r="K97" s="33">
        <f>H97*AP97</f>
        <v>0</v>
      </c>
      <c r="L97" s="33">
        <f>H97*I97</f>
        <v>0</v>
      </c>
      <c r="M97" s="26" t="s">
        <v>340</v>
      </c>
      <c r="Z97" s="33">
        <f>IF(AQ97="5",BJ97,0)</f>
        <v>0</v>
      </c>
      <c r="AB97" s="33">
        <f>IF(AQ97="1",BH97,0)</f>
        <v>0</v>
      </c>
      <c r="AC97" s="33">
        <f>IF(AQ97="1",BI97,0)</f>
        <v>0</v>
      </c>
      <c r="AD97" s="33">
        <f>IF(AQ97="7",BH97,0)</f>
        <v>0</v>
      </c>
      <c r="AE97" s="33">
        <f>IF(AQ97="7",BI97,0)</f>
        <v>0</v>
      </c>
      <c r="AF97" s="33">
        <f>IF(AQ97="2",BH97,0)</f>
        <v>0</v>
      </c>
      <c r="AG97" s="33">
        <f>IF(AQ97="2",BI97,0)</f>
        <v>0</v>
      </c>
      <c r="AH97" s="33">
        <f>IF(AQ97="0",BJ97,0)</f>
        <v>0</v>
      </c>
      <c r="AI97" s="21" t="s">
        <v>284</v>
      </c>
      <c r="AJ97" s="33">
        <f>IF(AN97=0,L97,0)</f>
        <v>0</v>
      </c>
      <c r="AK97" s="33">
        <f>IF(AN97=15,L97,0)</f>
        <v>0</v>
      </c>
      <c r="AL97" s="33">
        <f>IF(AN97=21,L97,0)</f>
        <v>0</v>
      </c>
      <c r="AN97" s="33">
        <v>21</v>
      </c>
      <c r="AO97" s="33">
        <f>I97*0.169117647058824</f>
        <v>0</v>
      </c>
      <c r="AP97" s="33">
        <f>I97*(1-0.169117647058824)</f>
        <v>0</v>
      </c>
      <c r="AQ97" s="56" t="s">
        <v>395</v>
      </c>
      <c r="AV97" s="33">
        <f>AW97+AX97</f>
        <v>0</v>
      </c>
      <c r="AW97" s="33">
        <f>H97*AO97</f>
        <v>0</v>
      </c>
      <c r="AX97" s="33">
        <f>H97*AP97</f>
        <v>0</v>
      </c>
      <c r="AY97" s="56" t="s">
        <v>130</v>
      </c>
      <c r="AZ97" s="56" t="s">
        <v>151</v>
      </c>
      <c r="BA97" s="21" t="s">
        <v>306</v>
      </c>
      <c r="BC97" s="33">
        <f>AW97+AX97</f>
        <v>0</v>
      </c>
      <c r="BD97" s="33">
        <f>I97/(100-BE97)*100</f>
        <v>0</v>
      </c>
      <c r="BE97" s="33">
        <v>0</v>
      </c>
      <c r="BF97" s="33">
        <f>97</f>
        <v>97</v>
      </c>
      <c r="BH97" s="33">
        <f>H97*AO97</f>
        <v>0</v>
      </c>
      <c r="BI97" s="33">
        <f>H97*AP97</f>
        <v>0</v>
      </c>
      <c r="BJ97" s="33">
        <f>H97*I97</f>
        <v>0</v>
      </c>
      <c r="BK97" s="33"/>
      <c r="BL97" s="33">
        <v>97</v>
      </c>
    </row>
    <row r="98" spans="1:64" ht="15" customHeight="1">
      <c r="A98" s="9" t="s">
        <v>174</v>
      </c>
      <c r="B98" s="1" t="s">
        <v>382</v>
      </c>
      <c r="C98" s="62" t="s">
        <v>226</v>
      </c>
      <c r="D98" s="62"/>
      <c r="E98" s="62"/>
      <c r="F98" s="62"/>
      <c r="G98" s="1" t="s">
        <v>335</v>
      </c>
      <c r="H98" s="33">
        <v>7</v>
      </c>
      <c r="I98" s="33">
        <v>0</v>
      </c>
      <c r="J98" s="33">
        <f>H98*AO98</f>
        <v>0</v>
      </c>
      <c r="K98" s="33">
        <f>H98*AP98</f>
        <v>0</v>
      </c>
      <c r="L98" s="33">
        <f>H98*I98</f>
        <v>0</v>
      </c>
      <c r="M98" s="26" t="s">
        <v>340</v>
      </c>
      <c r="Z98" s="33">
        <f>IF(AQ98="5",BJ98,0)</f>
        <v>0</v>
      </c>
      <c r="AB98" s="33">
        <f>IF(AQ98="1",BH98,0)</f>
        <v>0</v>
      </c>
      <c r="AC98" s="33">
        <f>IF(AQ98="1",BI98,0)</f>
        <v>0</v>
      </c>
      <c r="AD98" s="33">
        <f>IF(AQ98="7",BH98,0)</f>
        <v>0</v>
      </c>
      <c r="AE98" s="33">
        <f>IF(AQ98="7",BI98,0)</f>
        <v>0</v>
      </c>
      <c r="AF98" s="33">
        <f>IF(AQ98="2",BH98,0)</f>
        <v>0</v>
      </c>
      <c r="AG98" s="33">
        <f>IF(AQ98="2",BI98,0)</f>
        <v>0</v>
      </c>
      <c r="AH98" s="33">
        <f>IF(AQ98="0",BJ98,0)</f>
        <v>0</v>
      </c>
      <c r="AI98" s="21" t="s">
        <v>284</v>
      </c>
      <c r="AJ98" s="33">
        <f>IF(AN98=0,L98,0)</f>
        <v>0</v>
      </c>
      <c r="AK98" s="33">
        <f>IF(AN98=15,L98,0)</f>
        <v>0</v>
      </c>
      <c r="AL98" s="33">
        <f>IF(AN98=21,L98,0)</f>
        <v>0</v>
      </c>
      <c r="AN98" s="33">
        <v>21</v>
      </c>
      <c r="AO98" s="33">
        <f>I98*0.0970204715897574</f>
        <v>0</v>
      </c>
      <c r="AP98" s="33">
        <f>I98*(1-0.0970204715897574)</f>
        <v>0</v>
      </c>
      <c r="AQ98" s="56" t="s">
        <v>395</v>
      </c>
      <c r="AV98" s="33">
        <f>AW98+AX98</f>
        <v>0</v>
      </c>
      <c r="AW98" s="33">
        <f>H98*AO98</f>
        <v>0</v>
      </c>
      <c r="AX98" s="33">
        <f>H98*AP98</f>
        <v>0</v>
      </c>
      <c r="AY98" s="56" t="s">
        <v>130</v>
      </c>
      <c r="AZ98" s="56" t="s">
        <v>151</v>
      </c>
      <c r="BA98" s="21" t="s">
        <v>306</v>
      </c>
      <c r="BC98" s="33">
        <f>AW98+AX98</f>
        <v>0</v>
      </c>
      <c r="BD98" s="33">
        <f>I98/(100-BE98)*100</f>
        <v>0</v>
      </c>
      <c r="BE98" s="33">
        <v>0</v>
      </c>
      <c r="BF98" s="33">
        <f>98</f>
        <v>98</v>
      </c>
      <c r="BH98" s="33">
        <f>H98*AO98</f>
        <v>0</v>
      </c>
      <c r="BI98" s="33">
        <f>H98*AP98</f>
        <v>0</v>
      </c>
      <c r="BJ98" s="33">
        <f>H98*I98</f>
        <v>0</v>
      </c>
      <c r="BK98" s="33"/>
      <c r="BL98" s="33">
        <v>97</v>
      </c>
    </row>
    <row r="99" spans="1:13" ht="15" customHeight="1">
      <c r="A99" s="46"/>
      <c r="C99" s="29" t="s">
        <v>219</v>
      </c>
      <c r="F99" s="29" t="s">
        <v>284</v>
      </c>
      <c r="H99" s="8">
        <v>5</v>
      </c>
      <c r="M99" s="38"/>
    </row>
    <row r="100" spans="1:13" ht="15" customHeight="1">
      <c r="A100" s="46"/>
      <c r="C100" s="29" t="s">
        <v>59</v>
      </c>
      <c r="F100" s="29" t="s">
        <v>284</v>
      </c>
      <c r="H100" s="8">
        <v>2</v>
      </c>
      <c r="M100" s="38"/>
    </row>
    <row r="101" spans="1:64" ht="15" customHeight="1">
      <c r="A101" s="9" t="s">
        <v>195</v>
      </c>
      <c r="B101" s="1" t="s">
        <v>344</v>
      </c>
      <c r="C101" s="62" t="s">
        <v>365</v>
      </c>
      <c r="D101" s="62"/>
      <c r="E101" s="62"/>
      <c r="F101" s="62"/>
      <c r="G101" s="1" t="s">
        <v>112</v>
      </c>
      <c r="H101" s="33">
        <v>11</v>
      </c>
      <c r="I101" s="33">
        <v>0</v>
      </c>
      <c r="J101" s="33">
        <f>H101*AO101</f>
        <v>0</v>
      </c>
      <c r="K101" s="33">
        <f>H101*AP101</f>
        <v>0</v>
      </c>
      <c r="L101" s="33">
        <f>H101*I101</f>
        <v>0</v>
      </c>
      <c r="M101" s="26" t="s">
        <v>340</v>
      </c>
      <c r="Z101" s="33">
        <f>IF(AQ101="5",BJ101,0)</f>
        <v>0</v>
      </c>
      <c r="AB101" s="33">
        <f>IF(AQ101="1",BH101,0)</f>
        <v>0</v>
      </c>
      <c r="AC101" s="33">
        <f>IF(AQ101="1",BI101,0)</f>
        <v>0</v>
      </c>
      <c r="AD101" s="33">
        <f>IF(AQ101="7",BH101,0)</f>
        <v>0</v>
      </c>
      <c r="AE101" s="33">
        <f>IF(AQ101="7",BI101,0)</f>
        <v>0</v>
      </c>
      <c r="AF101" s="33">
        <f>IF(AQ101="2",BH101,0)</f>
        <v>0</v>
      </c>
      <c r="AG101" s="33">
        <f>IF(AQ101="2",BI101,0)</f>
        <v>0</v>
      </c>
      <c r="AH101" s="33">
        <f>IF(AQ101="0",BJ101,0)</f>
        <v>0</v>
      </c>
      <c r="AI101" s="21" t="s">
        <v>284</v>
      </c>
      <c r="AJ101" s="33">
        <f>IF(AN101=0,L101,0)</f>
        <v>0</v>
      </c>
      <c r="AK101" s="33">
        <f>IF(AN101=15,L101,0)</f>
        <v>0</v>
      </c>
      <c r="AL101" s="33">
        <f>IF(AN101=21,L101,0)</f>
        <v>0</v>
      </c>
      <c r="AN101" s="33">
        <v>21</v>
      </c>
      <c r="AO101" s="33">
        <f>I101*0.0632599118942731</f>
        <v>0</v>
      </c>
      <c r="AP101" s="33">
        <f>I101*(1-0.0632599118942731)</f>
        <v>0</v>
      </c>
      <c r="AQ101" s="56" t="s">
        <v>395</v>
      </c>
      <c r="AV101" s="33">
        <f>AW101+AX101</f>
        <v>0</v>
      </c>
      <c r="AW101" s="33">
        <f>H101*AO101</f>
        <v>0</v>
      </c>
      <c r="AX101" s="33">
        <f>H101*AP101</f>
        <v>0</v>
      </c>
      <c r="AY101" s="56" t="s">
        <v>130</v>
      </c>
      <c r="AZ101" s="56" t="s">
        <v>151</v>
      </c>
      <c r="BA101" s="21" t="s">
        <v>306</v>
      </c>
      <c r="BC101" s="33">
        <f>AW101+AX101</f>
        <v>0</v>
      </c>
      <c r="BD101" s="33">
        <f>I101/(100-BE101)*100</f>
        <v>0</v>
      </c>
      <c r="BE101" s="33">
        <v>0</v>
      </c>
      <c r="BF101" s="33">
        <f>101</f>
        <v>101</v>
      </c>
      <c r="BH101" s="33">
        <f>H101*AO101</f>
        <v>0</v>
      </c>
      <c r="BI101" s="33">
        <f>H101*AP101</f>
        <v>0</v>
      </c>
      <c r="BJ101" s="33">
        <f>H101*I101</f>
        <v>0</v>
      </c>
      <c r="BK101" s="33"/>
      <c r="BL101" s="33">
        <v>97</v>
      </c>
    </row>
    <row r="102" spans="1:64" ht="15" customHeight="1">
      <c r="A102" s="9" t="s">
        <v>367</v>
      </c>
      <c r="B102" s="1" t="s">
        <v>80</v>
      </c>
      <c r="C102" s="62" t="s">
        <v>280</v>
      </c>
      <c r="D102" s="62"/>
      <c r="E102" s="62"/>
      <c r="F102" s="62"/>
      <c r="G102" s="1" t="s">
        <v>335</v>
      </c>
      <c r="H102" s="33">
        <v>2</v>
      </c>
      <c r="I102" s="33">
        <v>0</v>
      </c>
      <c r="J102" s="33">
        <f>H102*AO102</f>
        <v>0</v>
      </c>
      <c r="K102" s="33">
        <f>H102*AP102</f>
        <v>0</v>
      </c>
      <c r="L102" s="33">
        <f>H102*I102</f>
        <v>0</v>
      </c>
      <c r="M102" s="26" t="s">
        <v>340</v>
      </c>
      <c r="Z102" s="33">
        <f>IF(AQ102="5",BJ102,0)</f>
        <v>0</v>
      </c>
      <c r="AB102" s="33">
        <f>IF(AQ102="1",BH102,0)</f>
        <v>0</v>
      </c>
      <c r="AC102" s="33">
        <f>IF(AQ102="1",BI102,0)</f>
        <v>0</v>
      </c>
      <c r="AD102" s="33">
        <f>IF(AQ102="7",BH102,0)</f>
        <v>0</v>
      </c>
      <c r="AE102" s="33">
        <f>IF(AQ102="7",BI102,0)</f>
        <v>0</v>
      </c>
      <c r="AF102" s="33">
        <f>IF(AQ102="2",BH102,0)</f>
        <v>0</v>
      </c>
      <c r="AG102" s="33">
        <f>IF(AQ102="2",BI102,0)</f>
        <v>0</v>
      </c>
      <c r="AH102" s="33">
        <f>IF(AQ102="0",BJ102,0)</f>
        <v>0</v>
      </c>
      <c r="AI102" s="21" t="s">
        <v>284</v>
      </c>
      <c r="AJ102" s="33">
        <f>IF(AN102=0,L102,0)</f>
        <v>0</v>
      </c>
      <c r="AK102" s="33">
        <f>IF(AN102=15,L102,0)</f>
        <v>0</v>
      </c>
      <c r="AL102" s="33">
        <f>IF(AN102=21,L102,0)</f>
        <v>0</v>
      </c>
      <c r="AN102" s="33">
        <v>21</v>
      </c>
      <c r="AO102" s="33">
        <f>I102*0.0827665706051873</f>
        <v>0</v>
      </c>
      <c r="AP102" s="33">
        <f>I102*(1-0.0827665706051873)</f>
        <v>0</v>
      </c>
      <c r="AQ102" s="56" t="s">
        <v>395</v>
      </c>
      <c r="AV102" s="33">
        <f>AW102+AX102</f>
        <v>0</v>
      </c>
      <c r="AW102" s="33">
        <f>H102*AO102</f>
        <v>0</v>
      </c>
      <c r="AX102" s="33">
        <f>H102*AP102</f>
        <v>0</v>
      </c>
      <c r="AY102" s="56" t="s">
        <v>130</v>
      </c>
      <c r="AZ102" s="56" t="s">
        <v>151</v>
      </c>
      <c r="BA102" s="21" t="s">
        <v>306</v>
      </c>
      <c r="BC102" s="33">
        <f>AW102+AX102</f>
        <v>0</v>
      </c>
      <c r="BD102" s="33">
        <f>I102/(100-BE102)*100</f>
        <v>0</v>
      </c>
      <c r="BE102" s="33">
        <v>0</v>
      </c>
      <c r="BF102" s="33">
        <f>102</f>
        <v>102</v>
      </c>
      <c r="BH102" s="33">
        <f>H102*AO102</f>
        <v>0</v>
      </c>
      <c r="BI102" s="33">
        <f>H102*AP102</f>
        <v>0</v>
      </c>
      <c r="BJ102" s="33">
        <f>H102*I102</f>
        <v>0</v>
      </c>
      <c r="BK102" s="33"/>
      <c r="BL102" s="33">
        <v>97</v>
      </c>
    </row>
    <row r="103" spans="1:64" ht="15" customHeight="1">
      <c r="A103" s="9" t="s">
        <v>269</v>
      </c>
      <c r="B103" s="1" t="s">
        <v>311</v>
      </c>
      <c r="C103" s="62" t="s">
        <v>73</v>
      </c>
      <c r="D103" s="62"/>
      <c r="E103" s="62"/>
      <c r="F103" s="62"/>
      <c r="G103" s="1" t="s">
        <v>112</v>
      </c>
      <c r="H103" s="33">
        <v>6</v>
      </c>
      <c r="I103" s="33">
        <v>0</v>
      </c>
      <c r="J103" s="33">
        <f>H103*AO103</f>
        <v>0</v>
      </c>
      <c r="K103" s="33">
        <f>H103*AP103</f>
        <v>0</v>
      </c>
      <c r="L103" s="33">
        <f>H103*I103</f>
        <v>0</v>
      </c>
      <c r="M103" s="26" t="s">
        <v>340</v>
      </c>
      <c r="Z103" s="33">
        <f>IF(AQ103="5",BJ103,0)</f>
        <v>0</v>
      </c>
      <c r="AB103" s="33">
        <f>IF(AQ103="1",BH103,0)</f>
        <v>0</v>
      </c>
      <c r="AC103" s="33">
        <f>IF(AQ103="1",BI103,0)</f>
        <v>0</v>
      </c>
      <c r="AD103" s="33">
        <f>IF(AQ103="7",BH103,0)</f>
        <v>0</v>
      </c>
      <c r="AE103" s="33">
        <f>IF(AQ103="7",BI103,0)</f>
        <v>0</v>
      </c>
      <c r="AF103" s="33">
        <f>IF(AQ103="2",BH103,0)</f>
        <v>0</v>
      </c>
      <c r="AG103" s="33">
        <f>IF(AQ103="2",BI103,0)</f>
        <v>0</v>
      </c>
      <c r="AH103" s="33">
        <f>IF(AQ103="0",BJ103,0)</f>
        <v>0</v>
      </c>
      <c r="AI103" s="21" t="s">
        <v>284</v>
      </c>
      <c r="AJ103" s="33">
        <f>IF(AN103=0,L103,0)</f>
        <v>0</v>
      </c>
      <c r="AK103" s="33">
        <f>IF(AN103=15,L103,0)</f>
        <v>0</v>
      </c>
      <c r="AL103" s="33">
        <f>IF(AN103=21,L103,0)</f>
        <v>0</v>
      </c>
      <c r="AN103" s="33">
        <v>21</v>
      </c>
      <c r="AO103" s="33">
        <f>I103*0</f>
        <v>0</v>
      </c>
      <c r="AP103" s="33">
        <f>I103*(1-0)</f>
        <v>0</v>
      </c>
      <c r="AQ103" s="56" t="s">
        <v>395</v>
      </c>
      <c r="AV103" s="33">
        <f>AW103+AX103</f>
        <v>0</v>
      </c>
      <c r="AW103" s="33">
        <f>H103*AO103</f>
        <v>0</v>
      </c>
      <c r="AX103" s="33">
        <f>H103*AP103</f>
        <v>0</v>
      </c>
      <c r="AY103" s="56" t="s">
        <v>130</v>
      </c>
      <c r="AZ103" s="56" t="s">
        <v>151</v>
      </c>
      <c r="BA103" s="21" t="s">
        <v>306</v>
      </c>
      <c r="BC103" s="33">
        <f>AW103+AX103</f>
        <v>0</v>
      </c>
      <c r="BD103" s="33">
        <f>I103/(100-BE103)*100</f>
        <v>0</v>
      </c>
      <c r="BE103" s="33">
        <v>0</v>
      </c>
      <c r="BF103" s="33">
        <f>103</f>
        <v>103</v>
      </c>
      <c r="BH103" s="33">
        <f>H103*AO103</f>
        <v>0</v>
      </c>
      <c r="BI103" s="33">
        <f>H103*AP103</f>
        <v>0</v>
      </c>
      <c r="BJ103" s="33">
        <f>H103*I103</f>
        <v>0</v>
      </c>
      <c r="BK103" s="33"/>
      <c r="BL103" s="33">
        <v>97</v>
      </c>
    </row>
    <row r="104" spans="1:47" ht="15" customHeight="1">
      <c r="A104" s="30" t="s">
        <v>284</v>
      </c>
      <c r="B104" s="42" t="s">
        <v>417</v>
      </c>
      <c r="C104" s="78" t="s">
        <v>142</v>
      </c>
      <c r="D104" s="78"/>
      <c r="E104" s="78"/>
      <c r="F104" s="78"/>
      <c r="G104" s="53" t="s">
        <v>368</v>
      </c>
      <c r="H104" s="53" t="s">
        <v>368</v>
      </c>
      <c r="I104" s="53" t="s">
        <v>368</v>
      </c>
      <c r="J104" s="14">
        <f>SUM(J105:J105)</f>
        <v>0</v>
      </c>
      <c r="K104" s="14">
        <f>SUM(K105:K105)</f>
        <v>0</v>
      </c>
      <c r="L104" s="14">
        <f>SUM(L105:L105)</f>
        <v>0</v>
      </c>
      <c r="M104" s="55" t="s">
        <v>284</v>
      </c>
      <c r="AI104" s="21" t="s">
        <v>284</v>
      </c>
      <c r="AS104" s="14">
        <f>SUM(AJ105:AJ105)</f>
        <v>0</v>
      </c>
      <c r="AT104" s="14">
        <f>SUM(AK105:AK105)</f>
        <v>0</v>
      </c>
      <c r="AU104" s="14">
        <f>SUM(AL105:AL105)</f>
        <v>0</v>
      </c>
    </row>
    <row r="105" spans="1:64" ht="15" customHeight="1">
      <c r="A105" s="9" t="s">
        <v>251</v>
      </c>
      <c r="B105" s="1" t="s">
        <v>165</v>
      </c>
      <c r="C105" s="62" t="s">
        <v>418</v>
      </c>
      <c r="D105" s="62"/>
      <c r="E105" s="62"/>
      <c r="F105" s="62"/>
      <c r="G105" s="1" t="s">
        <v>192</v>
      </c>
      <c r="H105" s="33">
        <v>0.554</v>
      </c>
      <c r="I105" s="33">
        <v>0</v>
      </c>
      <c r="J105" s="33">
        <f>H105*AO105</f>
        <v>0</v>
      </c>
      <c r="K105" s="33">
        <f>H105*AP105</f>
        <v>0</v>
      </c>
      <c r="L105" s="33">
        <f>H105*I105</f>
        <v>0</v>
      </c>
      <c r="M105" s="26" t="s">
        <v>157</v>
      </c>
      <c r="Z105" s="33">
        <f>IF(AQ105="5",BJ105,0)</f>
        <v>0</v>
      </c>
      <c r="AB105" s="33">
        <f>IF(AQ105="1",BH105,0)</f>
        <v>0</v>
      </c>
      <c r="AC105" s="33">
        <f>IF(AQ105="1",BI105,0)</f>
        <v>0</v>
      </c>
      <c r="AD105" s="33">
        <f>IF(AQ105="7",BH105,0)</f>
        <v>0</v>
      </c>
      <c r="AE105" s="33">
        <f>IF(AQ105="7",BI105,0)</f>
        <v>0</v>
      </c>
      <c r="AF105" s="33">
        <f>IF(AQ105="2",BH105,0)</f>
        <v>0</v>
      </c>
      <c r="AG105" s="33">
        <f>IF(AQ105="2",BI105,0)</f>
        <v>0</v>
      </c>
      <c r="AH105" s="33">
        <f>IF(AQ105="0",BJ105,0)</f>
        <v>0</v>
      </c>
      <c r="AI105" s="21" t="s">
        <v>284</v>
      </c>
      <c r="AJ105" s="33">
        <f>IF(AN105=0,L105,0)</f>
        <v>0</v>
      </c>
      <c r="AK105" s="33">
        <f>IF(AN105=15,L105,0)</f>
        <v>0</v>
      </c>
      <c r="AL105" s="33">
        <f>IF(AN105=21,L105,0)</f>
        <v>0</v>
      </c>
      <c r="AN105" s="33">
        <v>21</v>
      </c>
      <c r="AO105" s="33">
        <f>I105*0</f>
        <v>0</v>
      </c>
      <c r="AP105" s="33">
        <f>I105*(1-0)</f>
        <v>0</v>
      </c>
      <c r="AQ105" s="56" t="s">
        <v>212</v>
      </c>
      <c r="AV105" s="33">
        <f>AW105+AX105</f>
        <v>0</v>
      </c>
      <c r="AW105" s="33">
        <f>H105*AO105</f>
        <v>0</v>
      </c>
      <c r="AX105" s="33">
        <f>H105*AP105</f>
        <v>0</v>
      </c>
      <c r="AY105" s="56" t="s">
        <v>207</v>
      </c>
      <c r="AZ105" s="56" t="s">
        <v>151</v>
      </c>
      <c r="BA105" s="21" t="s">
        <v>306</v>
      </c>
      <c r="BC105" s="33">
        <f>AW105+AX105</f>
        <v>0</v>
      </c>
      <c r="BD105" s="33">
        <f>I105/(100-BE105)*100</f>
        <v>0</v>
      </c>
      <c r="BE105" s="33">
        <v>0</v>
      </c>
      <c r="BF105" s="33">
        <f>105</f>
        <v>105</v>
      </c>
      <c r="BH105" s="33">
        <f>H105*AO105</f>
        <v>0</v>
      </c>
      <c r="BI105" s="33">
        <f>H105*AP105</f>
        <v>0</v>
      </c>
      <c r="BJ105" s="33">
        <f>H105*I105</f>
        <v>0</v>
      </c>
      <c r="BK105" s="33"/>
      <c r="BL105" s="33"/>
    </row>
    <row r="106" spans="1:13" ht="15" customHeight="1">
      <c r="A106" s="46"/>
      <c r="C106" s="29" t="s">
        <v>268</v>
      </c>
      <c r="F106" s="29" t="s">
        <v>284</v>
      </c>
      <c r="H106" s="8">
        <v>0.554</v>
      </c>
      <c r="M106" s="38"/>
    </row>
    <row r="107" spans="1:47" ht="15" customHeight="1">
      <c r="A107" s="30" t="s">
        <v>284</v>
      </c>
      <c r="B107" s="42" t="s">
        <v>67</v>
      </c>
      <c r="C107" s="78" t="s">
        <v>125</v>
      </c>
      <c r="D107" s="78"/>
      <c r="E107" s="78"/>
      <c r="F107" s="78"/>
      <c r="G107" s="53" t="s">
        <v>368</v>
      </c>
      <c r="H107" s="53" t="s">
        <v>368</v>
      </c>
      <c r="I107" s="53" t="s">
        <v>368</v>
      </c>
      <c r="J107" s="14">
        <f>SUM(J108:J128)</f>
        <v>0</v>
      </c>
      <c r="K107" s="14">
        <f>SUM(K108:K128)</f>
        <v>0</v>
      </c>
      <c r="L107" s="14">
        <f>SUM(L108:L128)</f>
        <v>0</v>
      </c>
      <c r="M107" s="55" t="s">
        <v>284</v>
      </c>
      <c r="AI107" s="21" t="s">
        <v>284</v>
      </c>
      <c r="AS107" s="14">
        <f>SUM(AJ108:AJ128)</f>
        <v>0</v>
      </c>
      <c r="AT107" s="14">
        <f>SUM(AK108:AK128)</f>
        <v>0</v>
      </c>
      <c r="AU107" s="14">
        <f>SUM(AL108:AL128)</f>
        <v>0</v>
      </c>
    </row>
    <row r="108" spans="1:64" ht="15" customHeight="1">
      <c r="A108" s="9" t="s">
        <v>374</v>
      </c>
      <c r="B108" s="1" t="s">
        <v>432</v>
      </c>
      <c r="C108" s="62" t="s">
        <v>408</v>
      </c>
      <c r="D108" s="62"/>
      <c r="E108" s="62"/>
      <c r="F108" s="62"/>
      <c r="G108" s="1" t="s">
        <v>112</v>
      </c>
      <c r="H108" s="33">
        <v>1</v>
      </c>
      <c r="I108" s="33">
        <v>0</v>
      </c>
      <c r="J108" s="33">
        <f aca="true" t="shared" si="88" ref="J108:J128">H108*AO108</f>
        <v>0</v>
      </c>
      <c r="K108" s="33">
        <f aca="true" t="shared" si="89" ref="K108:K128">H108*AP108</f>
        <v>0</v>
      </c>
      <c r="L108" s="33">
        <f aca="true" t="shared" si="90" ref="L108:L128">H108*I108</f>
        <v>0</v>
      </c>
      <c r="M108" s="26" t="s">
        <v>284</v>
      </c>
      <c r="Z108" s="33">
        <f aca="true" t="shared" si="91" ref="Z108:Z128">IF(AQ108="5",BJ108,0)</f>
        <v>0</v>
      </c>
      <c r="AB108" s="33">
        <f aca="true" t="shared" si="92" ref="AB108:AB128">IF(AQ108="1",BH108,0)</f>
        <v>0</v>
      </c>
      <c r="AC108" s="33">
        <f aca="true" t="shared" si="93" ref="AC108:AC128">IF(AQ108="1",BI108,0)</f>
        <v>0</v>
      </c>
      <c r="AD108" s="33">
        <f aca="true" t="shared" si="94" ref="AD108:AD128">IF(AQ108="7",BH108,0)</f>
        <v>0</v>
      </c>
      <c r="AE108" s="33">
        <f aca="true" t="shared" si="95" ref="AE108:AE128">IF(AQ108="7",BI108,0)</f>
        <v>0</v>
      </c>
      <c r="AF108" s="33">
        <f aca="true" t="shared" si="96" ref="AF108:AF128">IF(AQ108="2",BH108,0)</f>
        <v>0</v>
      </c>
      <c r="AG108" s="33">
        <f aca="true" t="shared" si="97" ref="AG108:AG128">IF(AQ108="2",BI108,0)</f>
        <v>0</v>
      </c>
      <c r="AH108" s="33">
        <f aca="true" t="shared" si="98" ref="AH108:AH128">IF(AQ108="0",BJ108,0)</f>
        <v>0</v>
      </c>
      <c r="AI108" s="21" t="s">
        <v>284</v>
      </c>
      <c r="AJ108" s="33">
        <f aca="true" t="shared" si="99" ref="AJ108:AJ128">IF(AN108=0,L108,0)</f>
        <v>0</v>
      </c>
      <c r="AK108" s="33">
        <f aca="true" t="shared" si="100" ref="AK108:AK128">IF(AN108=15,L108,0)</f>
        <v>0</v>
      </c>
      <c r="AL108" s="33">
        <f aca="true" t="shared" si="101" ref="AL108:AL128">IF(AN108=21,L108,0)</f>
        <v>0</v>
      </c>
      <c r="AN108" s="33">
        <v>21</v>
      </c>
      <c r="AO108" s="33">
        <f>I108*0</f>
        <v>0</v>
      </c>
      <c r="AP108" s="33">
        <f>I108*(1-0)</f>
        <v>0</v>
      </c>
      <c r="AQ108" s="56" t="s">
        <v>281</v>
      </c>
      <c r="AV108" s="33">
        <f aca="true" t="shared" si="102" ref="AV108:AV128">AW108+AX108</f>
        <v>0</v>
      </c>
      <c r="AW108" s="33">
        <f aca="true" t="shared" si="103" ref="AW108:AW128">H108*AO108</f>
        <v>0</v>
      </c>
      <c r="AX108" s="33">
        <f aca="true" t="shared" si="104" ref="AX108:AX128">H108*AP108</f>
        <v>0</v>
      </c>
      <c r="AY108" s="56" t="s">
        <v>414</v>
      </c>
      <c r="AZ108" s="56" t="s">
        <v>151</v>
      </c>
      <c r="BA108" s="21" t="s">
        <v>306</v>
      </c>
      <c r="BC108" s="33">
        <f aca="true" t="shared" si="105" ref="BC108:BC128">AW108+AX108</f>
        <v>0</v>
      </c>
      <c r="BD108" s="33">
        <f aca="true" t="shared" si="106" ref="BD108:BD128">I108/(100-BE108)*100</f>
        <v>0</v>
      </c>
      <c r="BE108" s="33">
        <v>0</v>
      </c>
      <c r="BF108" s="33">
        <f>108</f>
        <v>108</v>
      </c>
      <c r="BH108" s="33">
        <f aca="true" t="shared" si="107" ref="BH108:BH128">H108*AO108</f>
        <v>0</v>
      </c>
      <c r="BI108" s="33">
        <f aca="true" t="shared" si="108" ref="BI108:BI128">H108*AP108</f>
        <v>0</v>
      </c>
      <c r="BJ108" s="33">
        <f aca="true" t="shared" si="109" ref="BJ108:BJ128">H108*I108</f>
        <v>0</v>
      </c>
      <c r="BK108" s="33"/>
      <c r="BL108" s="33"/>
    </row>
    <row r="109" spans="1:64" ht="15" customHeight="1">
      <c r="A109" s="9" t="s">
        <v>229</v>
      </c>
      <c r="B109" s="1" t="s">
        <v>412</v>
      </c>
      <c r="C109" s="62" t="s">
        <v>201</v>
      </c>
      <c r="D109" s="62"/>
      <c r="E109" s="62"/>
      <c r="F109" s="62"/>
      <c r="G109" s="1" t="s">
        <v>50</v>
      </c>
      <c r="H109" s="33">
        <v>1</v>
      </c>
      <c r="I109" s="33">
        <v>0</v>
      </c>
      <c r="J109" s="33">
        <f t="shared" si="88"/>
        <v>0</v>
      </c>
      <c r="K109" s="33">
        <f t="shared" si="89"/>
        <v>0</v>
      </c>
      <c r="L109" s="33">
        <f t="shared" si="90"/>
        <v>0</v>
      </c>
      <c r="M109" s="26" t="s">
        <v>284</v>
      </c>
      <c r="Z109" s="33">
        <f t="shared" si="91"/>
        <v>0</v>
      </c>
      <c r="AB109" s="33">
        <f t="shared" si="92"/>
        <v>0</v>
      </c>
      <c r="AC109" s="33">
        <f t="shared" si="93"/>
        <v>0</v>
      </c>
      <c r="AD109" s="33">
        <f t="shared" si="94"/>
        <v>0</v>
      </c>
      <c r="AE109" s="33">
        <f t="shared" si="95"/>
        <v>0</v>
      </c>
      <c r="AF109" s="33">
        <f t="shared" si="96"/>
        <v>0</v>
      </c>
      <c r="AG109" s="33">
        <f t="shared" si="97"/>
        <v>0</v>
      </c>
      <c r="AH109" s="33">
        <f t="shared" si="98"/>
        <v>0</v>
      </c>
      <c r="AI109" s="21" t="s">
        <v>284</v>
      </c>
      <c r="AJ109" s="33">
        <f t="shared" si="99"/>
        <v>0</v>
      </c>
      <c r="AK109" s="33">
        <f t="shared" si="100"/>
        <v>0</v>
      </c>
      <c r="AL109" s="33">
        <f t="shared" si="101"/>
        <v>0</v>
      </c>
      <c r="AN109" s="33">
        <v>21</v>
      </c>
      <c r="AO109" s="33">
        <f>I109*0</f>
        <v>0</v>
      </c>
      <c r="AP109" s="33">
        <f>I109*(1-0)</f>
        <v>0</v>
      </c>
      <c r="AQ109" s="56" t="s">
        <v>281</v>
      </c>
      <c r="AV109" s="33">
        <f t="shared" si="102"/>
        <v>0</v>
      </c>
      <c r="AW109" s="33">
        <f t="shared" si="103"/>
        <v>0</v>
      </c>
      <c r="AX109" s="33">
        <f t="shared" si="104"/>
        <v>0</v>
      </c>
      <c r="AY109" s="56" t="s">
        <v>414</v>
      </c>
      <c r="AZ109" s="56" t="s">
        <v>151</v>
      </c>
      <c r="BA109" s="21" t="s">
        <v>306</v>
      </c>
      <c r="BC109" s="33">
        <f t="shared" si="105"/>
        <v>0</v>
      </c>
      <c r="BD109" s="33">
        <f t="shared" si="106"/>
        <v>0</v>
      </c>
      <c r="BE109" s="33">
        <v>0</v>
      </c>
      <c r="BF109" s="33">
        <f>109</f>
        <v>109</v>
      </c>
      <c r="BH109" s="33">
        <f t="shared" si="107"/>
        <v>0</v>
      </c>
      <c r="BI109" s="33">
        <f t="shared" si="108"/>
        <v>0</v>
      </c>
      <c r="BJ109" s="33">
        <f t="shared" si="109"/>
        <v>0</v>
      </c>
      <c r="BK109" s="33"/>
      <c r="BL109" s="33"/>
    </row>
    <row r="110" spans="1:64" ht="15" customHeight="1">
      <c r="A110" s="9" t="s">
        <v>191</v>
      </c>
      <c r="B110" s="1" t="s">
        <v>411</v>
      </c>
      <c r="C110" s="62" t="s">
        <v>220</v>
      </c>
      <c r="D110" s="62"/>
      <c r="E110" s="62"/>
      <c r="F110" s="62"/>
      <c r="G110" s="1" t="s">
        <v>112</v>
      </c>
      <c r="H110" s="33">
        <v>15</v>
      </c>
      <c r="I110" s="33">
        <v>0</v>
      </c>
      <c r="J110" s="33">
        <f t="shared" si="88"/>
        <v>0</v>
      </c>
      <c r="K110" s="33">
        <f t="shared" si="89"/>
        <v>0</v>
      </c>
      <c r="L110" s="33">
        <f t="shared" si="90"/>
        <v>0</v>
      </c>
      <c r="M110" s="26" t="s">
        <v>340</v>
      </c>
      <c r="Z110" s="33">
        <f t="shared" si="91"/>
        <v>0</v>
      </c>
      <c r="AB110" s="33">
        <f t="shared" si="92"/>
        <v>0</v>
      </c>
      <c r="AC110" s="33">
        <f t="shared" si="93"/>
        <v>0</v>
      </c>
      <c r="AD110" s="33">
        <f t="shared" si="94"/>
        <v>0</v>
      </c>
      <c r="AE110" s="33">
        <f t="shared" si="95"/>
        <v>0</v>
      </c>
      <c r="AF110" s="33">
        <f t="shared" si="96"/>
        <v>0</v>
      </c>
      <c r="AG110" s="33">
        <f t="shared" si="97"/>
        <v>0</v>
      </c>
      <c r="AH110" s="33">
        <f t="shared" si="98"/>
        <v>0</v>
      </c>
      <c r="AI110" s="21" t="s">
        <v>284</v>
      </c>
      <c r="AJ110" s="33">
        <f t="shared" si="99"/>
        <v>0</v>
      </c>
      <c r="AK110" s="33">
        <f t="shared" si="100"/>
        <v>0</v>
      </c>
      <c r="AL110" s="33">
        <f t="shared" si="101"/>
        <v>0</v>
      </c>
      <c r="AN110" s="33">
        <v>21</v>
      </c>
      <c r="AO110" s="33">
        <f>I110*0.140990990990991</f>
        <v>0</v>
      </c>
      <c r="AP110" s="33">
        <f>I110*(1-0.140990990990991)</f>
        <v>0</v>
      </c>
      <c r="AQ110" s="56" t="s">
        <v>281</v>
      </c>
      <c r="AV110" s="33">
        <f t="shared" si="102"/>
        <v>0</v>
      </c>
      <c r="AW110" s="33">
        <f t="shared" si="103"/>
        <v>0</v>
      </c>
      <c r="AX110" s="33">
        <f t="shared" si="104"/>
        <v>0</v>
      </c>
      <c r="AY110" s="56" t="s">
        <v>414</v>
      </c>
      <c r="AZ110" s="56" t="s">
        <v>151</v>
      </c>
      <c r="BA110" s="21" t="s">
        <v>306</v>
      </c>
      <c r="BC110" s="33">
        <f t="shared" si="105"/>
        <v>0</v>
      </c>
      <c r="BD110" s="33">
        <f t="shared" si="106"/>
        <v>0</v>
      </c>
      <c r="BE110" s="33">
        <v>0</v>
      </c>
      <c r="BF110" s="33">
        <f>110</f>
        <v>110</v>
      </c>
      <c r="BH110" s="33">
        <f t="shared" si="107"/>
        <v>0</v>
      </c>
      <c r="BI110" s="33">
        <f t="shared" si="108"/>
        <v>0</v>
      </c>
      <c r="BJ110" s="33">
        <f t="shared" si="109"/>
        <v>0</v>
      </c>
      <c r="BK110" s="33"/>
      <c r="BL110" s="33"/>
    </row>
    <row r="111" spans="1:64" ht="15" customHeight="1">
      <c r="A111" s="9" t="s">
        <v>54</v>
      </c>
      <c r="B111" s="1" t="s">
        <v>361</v>
      </c>
      <c r="C111" s="62" t="s">
        <v>242</v>
      </c>
      <c r="D111" s="62"/>
      <c r="E111" s="62"/>
      <c r="F111" s="62"/>
      <c r="G111" s="1" t="s">
        <v>335</v>
      </c>
      <c r="H111" s="33">
        <v>12</v>
      </c>
      <c r="I111" s="33">
        <v>0</v>
      </c>
      <c r="J111" s="33">
        <f t="shared" si="88"/>
        <v>0</v>
      </c>
      <c r="K111" s="33">
        <f t="shared" si="89"/>
        <v>0</v>
      </c>
      <c r="L111" s="33">
        <f t="shared" si="90"/>
        <v>0</v>
      </c>
      <c r="M111" s="26" t="s">
        <v>340</v>
      </c>
      <c r="Z111" s="33">
        <f t="shared" si="91"/>
        <v>0</v>
      </c>
      <c r="AB111" s="33">
        <f t="shared" si="92"/>
        <v>0</v>
      </c>
      <c r="AC111" s="33">
        <f t="shared" si="93"/>
        <v>0</v>
      </c>
      <c r="AD111" s="33">
        <f t="shared" si="94"/>
        <v>0</v>
      </c>
      <c r="AE111" s="33">
        <f t="shared" si="95"/>
        <v>0</v>
      </c>
      <c r="AF111" s="33">
        <f t="shared" si="96"/>
        <v>0</v>
      </c>
      <c r="AG111" s="33">
        <f t="shared" si="97"/>
        <v>0</v>
      </c>
      <c r="AH111" s="33">
        <f t="shared" si="98"/>
        <v>0</v>
      </c>
      <c r="AI111" s="21" t="s">
        <v>284</v>
      </c>
      <c r="AJ111" s="33">
        <f t="shared" si="99"/>
        <v>0</v>
      </c>
      <c r="AK111" s="33">
        <f t="shared" si="100"/>
        <v>0</v>
      </c>
      <c r="AL111" s="33">
        <f t="shared" si="101"/>
        <v>0</v>
      </c>
      <c r="AN111" s="33">
        <v>21</v>
      </c>
      <c r="AO111" s="33">
        <f>I111*0.496937980180381</f>
        <v>0</v>
      </c>
      <c r="AP111" s="33">
        <f>I111*(1-0.496937980180381)</f>
        <v>0</v>
      </c>
      <c r="AQ111" s="56" t="s">
        <v>281</v>
      </c>
      <c r="AV111" s="33">
        <f t="shared" si="102"/>
        <v>0</v>
      </c>
      <c r="AW111" s="33">
        <f t="shared" si="103"/>
        <v>0</v>
      </c>
      <c r="AX111" s="33">
        <f t="shared" si="104"/>
        <v>0</v>
      </c>
      <c r="AY111" s="56" t="s">
        <v>414</v>
      </c>
      <c r="AZ111" s="56" t="s">
        <v>151</v>
      </c>
      <c r="BA111" s="21" t="s">
        <v>306</v>
      </c>
      <c r="BC111" s="33">
        <f t="shared" si="105"/>
        <v>0</v>
      </c>
      <c r="BD111" s="33">
        <f t="shared" si="106"/>
        <v>0</v>
      </c>
      <c r="BE111" s="33">
        <v>0</v>
      </c>
      <c r="BF111" s="33">
        <f>111</f>
        <v>111</v>
      </c>
      <c r="BH111" s="33">
        <f t="shared" si="107"/>
        <v>0</v>
      </c>
      <c r="BI111" s="33">
        <f t="shared" si="108"/>
        <v>0</v>
      </c>
      <c r="BJ111" s="33">
        <f t="shared" si="109"/>
        <v>0</v>
      </c>
      <c r="BK111" s="33"/>
      <c r="BL111" s="33"/>
    </row>
    <row r="112" spans="1:64" ht="15" customHeight="1">
      <c r="A112" s="9" t="s">
        <v>293</v>
      </c>
      <c r="B112" s="1" t="s">
        <v>273</v>
      </c>
      <c r="C112" s="62" t="s">
        <v>390</v>
      </c>
      <c r="D112" s="62"/>
      <c r="E112" s="62"/>
      <c r="F112" s="62"/>
      <c r="G112" s="1" t="s">
        <v>335</v>
      </c>
      <c r="H112" s="33">
        <v>15</v>
      </c>
      <c r="I112" s="33">
        <v>0</v>
      </c>
      <c r="J112" s="33">
        <f t="shared" si="88"/>
        <v>0</v>
      </c>
      <c r="K112" s="33">
        <f t="shared" si="89"/>
        <v>0</v>
      </c>
      <c r="L112" s="33">
        <f t="shared" si="90"/>
        <v>0</v>
      </c>
      <c r="M112" s="26" t="s">
        <v>340</v>
      </c>
      <c r="Z112" s="33">
        <f t="shared" si="91"/>
        <v>0</v>
      </c>
      <c r="AB112" s="33">
        <f t="shared" si="92"/>
        <v>0</v>
      </c>
      <c r="AC112" s="33">
        <f t="shared" si="93"/>
        <v>0</v>
      </c>
      <c r="AD112" s="33">
        <f t="shared" si="94"/>
        <v>0</v>
      </c>
      <c r="AE112" s="33">
        <f t="shared" si="95"/>
        <v>0</v>
      </c>
      <c r="AF112" s="33">
        <f t="shared" si="96"/>
        <v>0</v>
      </c>
      <c r="AG112" s="33">
        <f t="shared" si="97"/>
        <v>0</v>
      </c>
      <c r="AH112" s="33">
        <f t="shared" si="98"/>
        <v>0</v>
      </c>
      <c r="AI112" s="21" t="s">
        <v>284</v>
      </c>
      <c r="AJ112" s="33">
        <f t="shared" si="99"/>
        <v>0</v>
      </c>
      <c r="AK112" s="33">
        <f t="shared" si="100"/>
        <v>0</v>
      </c>
      <c r="AL112" s="33">
        <f t="shared" si="101"/>
        <v>0</v>
      </c>
      <c r="AN112" s="33">
        <v>21</v>
      </c>
      <c r="AO112" s="33">
        <f>I112*0.515924932975871</f>
        <v>0</v>
      </c>
      <c r="AP112" s="33">
        <f>I112*(1-0.515924932975871)</f>
        <v>0</v>
      </c>
      <c r="AQ112" s="56" t="s">
        <v>281</v>
      </c>
      <c r="AV112" s="33">
        <f t="shared" si="102"/>
        <v>0</v>
      </c>
      <c r="AW112" s="33">
        <f t="shared" si="103"/>
        <v>0</v>
      </c>
      <c r="AX112" s="33">
        <f t="shared" si="104"/>
        <v>0</v>
      </c>
      <c r="AY112" s="56" t="s">
        <v>414</v>
      </c>
      <c r="AZ112" s="56" t="s">
        <v>151</v>
      </c>
      <c r="BA112" s="21" t="s">
        <v>306</v>
      </c>
      <c r="BC112" s="33">
        <f t="shared" si="105"/>
        <v>0</v>
      </c>
      <c r="BD112" s="33">
        <f t="shared" si="106"/>
        <v>0</v>
      </c>
      <c r="BE112" s="33">
        <v>0</v>
      </c>
      <c r="BF112" s="33">
        <f>112</f>
        <v>112</v>
      </c>
      <c r="BH112" s="33">
        <f t="shared" si="107"/>
        <v>0</v>
      </c>
      <c r="BI112" s="33">
        <f t="shared" si="108"/>
        <v>0</v>
      </c>
      <c r="BJ112" s="33">
        <f t="shared" si="109"/>
        <v>0</v>
      </c>
      <c r="BK112" s="33"/>
      <c r="BL112" s="33"/>
    </row>
    <row r="113" spans="1:64" ht="15" customHeight="1">
      <c r="A113" s="9" t="s">
        <v>435</v>
      </c>
      <c r="B113" s="1" t="s">
        <v>79</v>
      </c>
      <c r="C113" s="62" t="s">
        <v>298</v>
      </c>
      <c r="D113" s="62"/>
      <c r="E113" s="62"/>
      <c r="F113" s="62"/>
      <c r="G113" s="1" t="s">
        <v>335</v>
      </c>
      <c r="H113" s="33">
        <v>18</v>
      </c>
      <c r="I113" s="33">
        <v>0</v>
      </c>
      <c r="J113" s="33">
        <f t="shared" si="88"/>
        <v>0</v>
      </c>
      <c r="K113" s="33">
        <f t="shared" si="89"/>
        <v>0</v>
      </c>
      <c r="L113" s="33">
        <f t="shared" si="90"/>
        <v>0</v>
      </c>
      <c r="M113" s="26" t="s">
        <v>340</v>
      </c>
      <c r="Z113" s="33">
        <f t="shared" si="91"/>
        <v>0</v>
      </c>
      <c r="AB113" s="33">
        <f t="shared" si="92"/>
        <v>0</v>
      </c>
      <c r="AC113" s="33">
        <f t="shared" si="93"/>
        <v>0</v>
      </c>
      <c r="AD113" s="33">
        <f t="shared" si="94"/>
        <v>0</v>
      </c>
      <c r="AE113" s="33">
        <f t="shared" si="95"/>
        <v>0</v>
      </c>
      <c r="AF113" s="33">
        <f t="shared" si="96"/>
        <v>0</v>
      </c>
      <c r="AG113" s="33">
        <f t="shared" si="97"/>
        <v>0</v>
      </c>
      <c r="AH113" s="33">
        <f t="shared" si="98"/>
        <v>0</v>
      </c>
      <c r="AI113" s="21" t="s">
        <v>284</v>
      </c>
      <c r="AJ113" s="33">
        <f t="shared" si="99"/>
        <v>0</v>
      </c>
      <c r="AK113" s="33">
        <f t="shared" si="100"/>
        <v>0</v>
      </c>
      <c r="AL113" s="33">
        <f t="shared" si="101"/>
        <v>0</v>
      </c>
      <c r="AN113" s="33">
        <v>21</v>
      </c>
      <c r="AO113" s="33">
        <f>I113*0.358</f>
        <v>0</v>
      </c>
      <c r="AP113" s="33">
        <f>I113*(1-0.358)</f>
        <v>0</v>
      </c>
      <c r="AQ113" s="56" t="s">
        <v>281</v>
      </c>
      <c r="AV113" s="33">
        <f t="shared" si="102"/>
        <v>0</v>
      </c>
      <c r="AW113" s="33">
        <f t="shared" si="103"/>
        <v>0</v>
      </c>
      <c r="AX113" s="33">
        <f t="shared" si="104"/>
        <v>0</v>
      </c>
      <c r="AY113" s="56" t="s">
        <v>414</v>
      </c>
      <c r="AZ113" s="56" t="s">
        <v>151</v>
      </c>
      <c r="BA113" s="21" t="s">
        <v>306</v>
      </c>
      <c r="BC113" s="33">
        <f t="shared" si="105"/>
        <v>0</v>
      </c>
      <c r="BD113" s="33">
        <f t="shared" si="106"/>
        <v>0</v>
      </c>
      <c r="BE113" s="33">
        <v>0</v>
      </c>
      <c r="BF113" s="33">
        <f>113</f>
        <v>113</v>
      </c>
      <c r="BH113" s="33">
        <f t="shared" si="107"/>
        <v>0</v>
      </c>
      <c r="BI113" s="33">
        <f t="shared" si="108"/>
        <v>0</v>
      </c>
      <c r="BJ113" s="33">
        <f t="shared" si="109"/>
        <v>0</v>
      </c>
      <c r="BK113" s="33"/>
      <c r="BL113" s="33"/>
    </row>
    <row r="114" spans="1:64" ht="15" customHeight="1">
      <c r="A114" s="9" t="s">
        <v>106</v>
      </c>
      <c r="B114" s="1" t="s">
        <v>286</v>
      </c>
      <c r="C114" s="62" t="s">
        <v>14</v>
      </c>
      <c r="D114" s="62"/>
      <c r="E114" s="62"/>
      <c r="F114" s="62"/>
      <c r="G114" s="1" t="s">
        <v>335</v>
      </c>
      <c r="H114" s="33">
        <v>44</v>
      </c>
      <c r="I114" s="33">
        <v>0</v>
      </c>
      <c r="J114" s="33">
        <f t="shared" si="88"/>
        <v>0</v>
      </c>
      <c r="K114" s="33">
        <f t="shared" si="89"/>
        <v>0</v>
      </c>
      <c r="L114" s="33">
        <f t="shared" si="90"/>
        <v>0</v>
      </c>
      <c r="M114" s="26" t="s">
        <v>340</v>
      </c>
      <c r="Z114" s="33">
        <f t="shared" si="91"/>
        <v>0</v>
      </c>
      <c r="AB114" s="33">
        <f t="shared" si="92"/>
        <v>0</v>
      </c>
      <c r="AC114" s="33">
        <f t="shared" si="93"/>
        <v>0</v>
      </c>
      <c r="AD114" s="33">
        <f t="shared" si="94"/>
        <v>0</v>
      </c>
      <c r="AE114" s="33">
        <f t="shared" si="95"/>
        <v>0</v>
      </c>
      <c r="AF114" s="33">
        <f t="shared" si="96"/>
        <v>0</v>
      </c>
      <c r="AG114" s="33">
        <f t="shared" si="97"/>
        <v>0</v>
      </c>
      <c r="AH114" s="33">
        <f t="shared" si="98"/>
        <v>0</v>
      </c>
      <c r="AI114" s="21" t="s">
        <v>284</v>
      </c>
      <c r="AJ114" s="33">
        <f t="shared" si="99"/>
        <v>0</v>
      </c>
      <c r="AK114" s="33">
        <f t="shared" si="100"/>
        <v>0</v>
      </c>
      <c r="AL114" s="33">
        <f t="shared" si="101"/>
        <v>0</v>
      </c>
      <c r="AN114" s="33">
        <v>21</v>
      </c>
      <c r="AO114" s="33">
        <f>I114*0.476803394625177</f>
        <v>0</v>
      </c>
      <c r="AP114" s="33">
        <f>I114*(1-0.476803394625177)</f>
        <v>0</v>
      </c>
      <c r="AQ114" s="56" t="s">
        <v>281</v>
      </c>
      <c r="AV114" s="33">
        <f t="shared" si="102"/>
        <v>0</v>
      </c>
      <c r="AW114" s="33">
        <f t="shared" si="103"/>
        <v>0</v>
      </c>
      <c r="AX114" s="33">
        <f t="shared" si="104"/>
        <v>0</v>
      </c>
      <c r="AY114" s="56" t="s">
        <v>414</v>
      </c>
      <c r="AZ114" s="56" t="s">
        <v>151</v>
      </c>
      <c r="BA114" s="21" t="s">
        <v>306</v>
      </c>
      <c r="BC114" s="33">
        <f t="shared" si="105"/>
        <v>0</v>
      </c>
      <c r="BD114" s="33">
        <f t="shared" si="106"/>
        <v>0</v>
      </c>
      <c r="BE114" s="33">
        <v>0</v>
      </c>
      <c r="BF114" s="33">
        <f>114</f>
        <v>114</v>
      </c>
      <c r="BH114" s="33">
        <f t="shared" si="107"/>
        <v>0</v>
      </c>
      <c r="BI114" s="33">
        <f t="shared" si="108"/>
        <v>0</v>
      </c>
      <c r="BJ114" s="33">
        <f t="shared" si="109"/>
        <v>0</v>
      </c>
      <c r="BK114" s="33"/>
      <c r="BL114" s="33"/>
    </row>
    <row r="115" spans="1:64" ht="15" customHeight="1">
      <c r="A115" s="9" t="s">
        <v>200</v>
      </c>
      <c r="B115" s="1" t="s">
        <v>324</v>
      </c>
      <c r="C115" s="62" t="s">
        <v>407</v>
      </c>
      <c r="D115" s="62"/>
      <c r="E115" s="62"/>
      <c r="F115" s="62"/>
      <c r="G115" s="1" t="s">
        <v>335</v>
      </c>
      <c r="H115" s="33">
        <v>18</v>
      </c>
      <c r="I115" s="33">
        <v>0</v>
      </c>
      <c r="J115" s="33">
        <f t="shared" si="88"/>
        <v>0</v>
      </c>
      <c r="K115" s="33">
        <f t="shared" si="89"/>
        <v>0</v>
      </c>
      <c r="L115" s="33">
        <f t="shared" si="90"/>
        <v>0</v>
      </c>
      <c r="M115" s="26" t="s">
        <v>340</v>
      </c>
      <c r="Z115" s="33">
        <f t="shared" si="91"/>
        <v>0</v>
      </c>
      <c r="AB115" s="33">
        <f t="shared" si="92"/>
        <v>0</v>
      </c>
      <c r="AC115" s="33">
        <f t="shared" si="93"/>
        <v>0</v>
      </c>
      <c r="AD115" s="33">
        <f t="shared" si="94"/>
        <v>0</v>
      </c>
      <c r="AE115" s="33">
        <f t="shared" si="95"/>
        <v>0</v>
      </c>
      <c r="AF115" s="33">
        <f t="shared" si="96"/>
        <v>0</v>
      </c>
      <c r="AG115" s="33">
        <f t="shared" si="97"/>
        <v>0</v>
      </c>
      <c r="AH115" s="33">
        <f t="shared" si="98"/>
        <v>0</v>
      </c>
      <c r="AI115" s="21" t="s">
        <v>284</v>
      </c>
      <c r="AJ115" s="33">
        <f t="shared" si="99"/>
        <v>0</v>
      </c>
      <c r="AK115" s="33">
        <f t="shared" si="100"/>
        <v>0</v>
      </c>
      <c r="AL115" s="33">
        <f t="shared" si="101"/>
        <v>0</v>
      </c>
      <c r="AN115" s="33">
        <v>21</v>
      </c>
      <c r="AO115" s="33">
        <f>I115*0.590149892933619</f>
        <v>0</v>
      </c>
      <c r="AP115" s="33">
        <f>I115*(1-0.590149892933619)</f>
        <v>0</v>
      </c>
      <c r="AQ115" s="56" t="s">
        <v>281</v>
      </c>
      <c r="AV115" s="33">
        <f t="shared" si="102"/>
        <v>0</v>
      </c>
      <c r="AW115" s="33">
        <f t="shared" si="103"/>
        <v>0</v>
      </c>
      <c r="AX115" s="33">
        <f t="shared" si="104"/>
        <v>0</v>
      </c>
      <c r="AY115" s="56" t="s">
        <v>414</v>
      </c>
      <c r="AZ115" s="56" t="s">
        <v>151</v>
      </c>
      <c r="BA115" s="21" t="s">
        <v>306</v>
      </c>
      <c r="BC115" s="33">
        <f t="shared" si="105"/>
        <v>0</v>
      </c>
      <c r="BD115" s="33">
        <f t="shared" si="106"/>
        <v>0</v>
      </c>
      <c r="BE115" s="33">
        <v>0</v>
      </c>
      <c r="BF115" s="33">
        <f>115</f>
        <v>115</v>
      </c>
      <c r="BH115" s="33">
        <f t="shared" si="107"/>
        <v>0</v>
      </c>
      <c r="BI115" s="33">
        <f t="shared" si="108"/>
        <v>0</v>
      </c>
      <c r="BJ115" s="33">
        <f t="shared" si="109"/>
        <v>0</v>
      </c>
      <c r="BK115" s="33"/>
      <c r="BL115" s="33"/>
    </row>
    <row r="116" spans="1:64" ht="15" customHeight="1">
      <c r="A116" s="9" t="s">
        <v>433</v>
      </c>
      <c r="B116" s="1" t="s">
        <v>369</v>
      </c>
      <c r="C116" s="62" t="s">
        <v>218</v>
      </c>
      <c r="D116" s="62"/>
      <c r="E116" s="62"/>
      <c r="F116" s="62"/>
      <c r="G116" s="1" t="s">
        <v>112</v>
      </c>
      <c r="H116" s="33">
        <v>1</v>
      </c>
      <c r="I116" s="33">
        <v>0</v>
      </c>
      <c r="J116" s="33">
        <f t="shared" si="88"/>
        <v>0</v>
      </c>
      <c r="K116" s="33">
        <f t="shared" si="89"/>
        <v>0</v>
      </c>
      <c r="L116" s="33">
        <f t="shared" si="90"/>
        <v>0</v>
      </c>
      <c r="M116" s="26" t="s">
        <v>340</v>
      </c>
      <c r="Z116" s="33">
        <f t="shared" si="91"/>
        <v>0</v>
      </c>
      <c r="AB116" s="33">
        <f t="shared" si="92"/>
        <v>0</v>
      </c>
      <c r="AC116" s="33">
        <f t="shared" si="93"/>
        <v>0</v>
      </c>
      <c r="AD116" s="33">
        <f t="shared" si="94"/>
        <v>0</v>
      </c>
      <c r="AE116" s="33">
        <f t="shared" si="95"/>
        <v>0</v>
      </c>
      <c r="AF116" s="33">
        <f t="shared" si="96"/>
        <v>0</v>
      </c>
      <c r="AG116" s="33">
        <f t="shared" si="97"/>
        <v>0</v>
      </c>
      <c r="AH116" s="33">
        <f t="shared" si="98"/>
        <v>0</v>
      </c>
      <c r="AI116" s="21" t="s">
        <v>284</v>
      </c>
      <c r="AJ116" s="33">
        <f t="shared" si="99"/>
        <v>0</v>
      </c>
      <c r="AK116" s="33">
        <f t="shared" si="100"/>
        <v>0</v>
      </c>
      <c r="AL116" s="33">
        <f t="shared" si="101"/>
        <v>0</v>
      </c>
      <c r="AN116" s="33">
        <v>21</v>
      </c>
      <c r="AO116" s="33">
        <f aca="true" t="shared" si="110" ref="AO116:AO121">I116*0</f>
        <v>0</v>
      </c>
      <c r="AP116" s="33">
        <f aca="true" t="shared" si="111" ref="AP116:AP121">I116*(1-0)</f>
        <v>0</v>
      </c>
      <c r="AQ116" s="56" t="s">
        <v>281</v>
      </c>
      <c r="AV116" s="33">
        <f t="shared" si="102"/>
        <v>0</v>
      </c>
      <c r="AW116" s="33">
        <f t="shared" si="103"/>
        <v>0</v>
      </c>
      <c r="AX116" s="33">
        <f t="shared" si="104"/>
        <v>0</v>
      </c>
      <c r="AY116" s="56" t="s">
        <v>414</v>
      </c>
      <c r="AZ116" s="56" t="s">
        <v>151</v>
      </c>
      <c r="BA116" s="21" t="s">
        <v>306</v>
      </c>
      <c r="BC116" s="33">
        <f t="shared" si="105"/>
        <v>0</v>
      </c>
      <c r="BD116" s="33">
        <f t="shared" si="106"/>
        <v>0</v>
      </c>
      <c r="BE116" s="33">
        <v>0</v>
      </c>
      <c r="BF116" s="33">
        <f>116</f>
        <v>116</v>
      </c>
      <c r="BH116" s="33">
        <f t="shared" si="107"/>
        <v>0</v>
      </c>
      <c r="BI116" s="33">
        <f t="shared" si="108"/>
        <v>0</v>
      </c>
      <c r="BJ116" s="33">
        <f t="shared" si="109"/>
        <v>0</v>
      </c>
      <c r="BK116" s="33"/>
      <c r="BL116" s="33"/>
    </row>
    <row r="117" spans="1:64" ht="15" customHeight="1">
      <c r="A117" s="9" t="s">
        <v>415</v>
      </c>
      <c r="B117" s="1" t="s">
        <v>70</v>
      </c>
      <c r="C117" s="62" t="s">
        <v>358</v>
      </c>
      <c r="D117" s="62"/>
      <c r="E117" s="62"/>
      <c r="F117" s="62"/>
      <c r="G117" s="1" t="s">
        <v>112</v>
      </c>
      <c r="H117" s="33">
        <v>1</v>
      </c>
      <c r="I117" s="33">
        <v>0</v>
      </c>
      <c r="J117" s="33">
        <f t="shared" si="88"/>
        <v>0</v>
      </c>
      <c r="K117" s="33">
        <f t="shared" si="89"/>
        <v>0</v>
      </c>
      <c r="L117" s="33">
        <f t="shared" si="90"/>
        <v>0</v>
      </c>
      <c r="M117" s="26" t="s">
        <v>340</v>
      </c>
      <c r="Z117" s="33">
        <f t="shared" si="91"/>
        <v>0</v>
      </c>
      <c r="AB117" s="33">
        <f t="shared" si="92"/>
        <v>0</v>
      </c>
      <c r="AC117" s="33">
        <f t="shared" si="93"/>
        <v>0</v>
      </c>
      <c r="AD117" s="33">
        <f t="shared" si="94"/>
        <v>0</v>
      </c>
      <c r="AE117" s="33">
        <f t="shared" si="95"/>
        <v>0</v>
      </c>
      <c r="AF117" s="33">
        <f t="shared" si="96"/>
        <v>0</v>
      </c>
      <c r="AG117" s="33">
        <f t="shared" si="97"/>
        <v>0</v>
      </c>
      <c r="AH117" s="33">
        <f t="shared" si="98"/>
        <v>0</v>
      </c>
      <c r="AI117" s="21" t="s">
        <v>284</v>
      </c>
      <c r="AJ117" s="33">
        <f t="shared" si="99"/>
        <v>0</v>
      </c>
      <c r="AK117" s="33">
        <f t="shared" si="100"/>
        <v>0</v>
      </c>
      <c r="AL117" s="33">
        <f t="shared" si="101"/>
        <v>0</v>
      </c>
      <c r="AN117" s="33">
        <v>21</v>
      </c>
      <c r="AO117" s="33">
        <f t="shared" si="110"/>
        <v>0</v>
      </c>
      <c r="AP117" s="33">
        <f t="shared" si="111"/>
        <v>0</v>
      </c>
      <c r="AQ117" s="56" t="s">
        <v>281</v>
      </c>
      <c r="AV117" s="33">
        <f t="shared" si="102"/>
        <v>0</v>
      </c>
      <c r="AW117" s="33">
        <f t="shared" si="103"/>
        <v>0</v>
      </c>
      <c r="AX117" s="33">
        <f t="shared" si="104"/>
        <v>0</v>
      </c>
      <c r="AY117" s="56" t="s">
        <v>414</v>
      </c>
      <c r="AZ117" s="56" t="s">
        <v>151</v>
      </c>
      <c r="BA117" s="21" t="s">
        <v>306</v>
      </c>
      <c r="BC117" s="33">
        <f t="shared" si="105"/>
        <v>0</v>
      </c>
      <c r="BD117" s="33">
        <f t="shared" si="106"/>
        <v>0</v>
      </c>
      <c r="BE117" s="33">
        <v>0</v>
      </c>
      <c r="BF117" s="33">
        <f>117</f>
        <v>117</v>
      </c>
      <c r="BH117" s="33">
        <f t="shared" si="107"/>
        <v>0</v>
      </c>
      <c r="BI117" s="33">
        <f t="shared" si="108"/>
        <v>0</v>
      </c>
      <c r="BJ117" s="33">
        <f t="shared" si="109"/>
        <v>0</v>
      </c>
      <c r="BK117" s="33"/>
      <c r="BL117" s="33"/>
    </row>
    <row r="118" spans="1:64" ht="15" customHeight="1">
      <c r="A118" s="9" t="s">
        <v>3</v>
      </c>
      <c r="B118" s="1" t="s">
        <v>406</v>
      </c>
      <c r="C118" s="62" t="s">
        <v>78</v>
      </c>
      <c r="D118" s="62"/>
      <c r="E118" s="62"/>
      <c r="F118" s="62"/>
      <c r="G118" s="1" t="s">
        <v>112</v>
      </c>
      <c r="H118" s="33">
        <v>15</v>
      </c>
      <c r="I118" s="33">
        <v>0</v>
      </c>
      <c r="J118" s="33">
        <f t="shared" si="88"/>
        <v>0</v>
      </c>
      <c r="K118" s="33">
        <f t="shared" si="89"/>
        <v>0</v>
      </c>
      <c r="L118" s="33">
        <f t="shared" si="90"/>
        <v>0</v>
      </c>
      <c r="M118" s="26" t="s">
        <v>340</v>
      </c>
      <c r="Z118" s="33">
        <f t="shared" si="91"/>
        <v>0</v>
      </c>
      <c r="AB118" s="33">
        <f t="shared" si="92"/>
        <v>0</v>
      </c>
      <c r="AC118" s="33">
        <f t="shared" si="93"/>
        <v>0</v>
      </c>
      <c r="AD118" s="33">
        <f t="shared" si="94"/>
        <v>0</v>
      </c>
      <c r="AE118" s="33">
        <f t="shared" si="95"/>
        <v>0</v>
      </c>
      <c r="AF118" s="33">
        <f t="shared" si="96"/>
        <v>0</v>
      </c>
      <c r="AG118" s="33">
        <f t="shared" si="97"/>
        <v>0</v>
      </c>
      <c r="AH118" s="33">
        <f t="shared" si="98"/>
        <v>0</v>
      </c>
      <c r="AI118" s="21" t="s">
        <v>284</v>
      </c>
      <c r="AJ118" s="33">
        <f t="shared" si="99"/>
        <v>0</v>
      </c>
      <c r="AK118" s="33">
        <f t="shared" si="100"/>
        <v>0</v>
      </c>
      <c r="AL118" s="33">
        <f t="shared" si="101"/>
        <v>0</v>
      </c>
      <c r="AN118" s="33">
        <v>21</v>
      </c>
      <c r="AO118" s="33">
        <f t="shared" si="110"/>
        <v>0</v>
      </c>
      <c r="AP118" s="33">
        <f t="shared" si="111"/>
        <v>0</v>
      </c>
      <c r="AQ118" s="56" t="s">
        <v>281</v>
      </c>
      <c r="AV118" s="33">
        <f t="shared" si="102"/>
        <v>0</v>
      </c>
      <c r="AW118" s="33">
        <f t="shared" si="103"/>
        <v>0</v>
      </c>
      <c r="AX118" s="33">
        <f t="shared" si="104"/>
        <v>0</v>
      </c>
      <c r="AY118" s="56" t="s">
        <v>414</v>
      </c>
      <c r="AZ118" s="56" t="s">
        <v>151</v>
      </c>
      <c r="BA118" s="21" t="s">
        <v>306</v>
      </c>
      <c r="BC118" s="33">
        <f t="shared" si="105"/>
        <v>0</v>
      </c>
      <c r="BD118" s="33">
        <f t="shared" si="106"/>
        <v>0</v>
      </c>
      <c r="BE118" s="33">
        <v>0</v>
      </c>
      <c r="BF118" s="33">
        <f>118</f>
        <v>118</v>
      </c>
      <c r="BH118" s="33">
        <f t="shared" si="107"/>
        <v>0</v>
      </c>
      <c r="BI118" s="33">
        <f t="shared" si="108"/>
        <v>0</v>
      </c>
      <c r="BJ118" s="33">
        <f t="shared" si="109"/>
        <v>0</v>
      </c>
      <c r="BK118" s="33"/>
      <c r="BL118" s="33"/>
    </row>
    <row r="119" spans="1:64" ht="15" customHeight="1">
      <c r="A119" s="9" t="s">
        <v>76</v>
      </c>
      <c r="B119" s="1" t="s">
        <v>167</v>
      </c>
      <c r="C119" s="62" t="s">
        <v>113</v>
      </c>
      <c r="D119" s="62"/>
      <c r="E119" s="62"/>
      <c r="F119" s="62"/>
      <c r="G119" s="1" t="s">
        <v>112</v>
      </c>
      <c r="H119" s="33">
        <v>3</v>
      </c>
      <c r="I119" s="33">
        <v>0</v>
      </c>
      <c r="J119" s="33">
        <f t="shared" si="88"/>
        <v>0</v>
      </c>
      <c r="K119" s="33">
        <f t="shared" si="89"/>
        <v>0</v>
      </c>
      <c r="L119" s="33">
        <f t="shared" si="90"/>
        <v>0</v>
      </c>
      <c r="M119" s="26" t="s">
        <v>340</v>
      </c>
      <c r="Z119" s="33">
        <f t="shared" si="91"/>
        <v>0</v>
      </c>
      <c r="AB119" s="33">
        <f t="shared" si="92"/>
        <v>0</v>
      </c>
      <c r="AC119" s="33">
        <f t="shared" si="93"/>
        <v>0</v>
      </c>
      <c r="AD119" s="33">
        <f t="shared" si="94"/>
        <v>0</v>
      </c>
      <c r="AE119" s="33">
        <f t="shared" si="95"/>
        <v>0</v>
      </c>
      <c r="AF119" s="33">
        <f t="shared" si="96"/>
        <v>0</v>
      </c>
      <c r="AG119" s="33">
        <f t="shared" si="97"/>
        <v>0</v>
      </c>
      <c r="AH119" s="33">
        <f t="shared" si="98"/>
        <v>0</v>
      </c>
      <c r="AI119" s="21" t="s">
        <v>284</v>
      </c>
      <c r="AJ119" s="33">
        <f t="shared" si="99"/>
        <v>0</v>
      </c>
      <c r="AK119" s="33">
        <f t="shared" si="100"/>
        <v>0</v>
      </c>
      <c r="AL119" s="33">
        <f t="shared" si="101"/>
        <v>0</v>
      </c>
      <c r="AN119" s="33">
        <v>21</v>
      </c>
      <c r="AO119" s="33">
        <f t="shared" si="110"/>
        <v>0</v>
      </c>
      <c r="AP119" s="33">
        <f t="shared" si="111"/>
        <v>0</v>
      </c>
      <c r="AQ119" s="56" t="s">
        <v>281</v>
      </c>
      <c r="AV119" s="33">
        <f t="shared" si="102"/>
        <v>0</v>
      </c>
      <c r="AW119" s="33">
        <f t="shared" si="103"/>
        <v>0</v>
      </c>
      <c r="AX119" s="33">
        <f t="shared" si="104"/>
        <v>0</v>
      </c>
      <c r="AY119" s="56" t="s">
        <v>414</v>
      </c>
      <c r="AZ119" s="56" t="s">
        <v>151</v>
      </c>
      <c r="BA119" s="21" t="s">
        <v>306</v>
      </c>
      <c r="BC119" s="33">
        <f t="shared" si="105"/>
        <v>0</v>
      </c>
      <c r="BD119" s="33">
        <f t="shared" si="106"/>
        <v>0</v>
      </c>
      <c r="BE119" s="33">
        <v>0</v>
      </c>
      <c r="BF119" s="33">
        <f>119</f>
        <v>119</v>
      </c>
      <c r="BH119" s="33">
        <f t="shared" si="107"/>
        <v>0</v>
      </c>
      <c r="BI119" s="33">
        <f t="shared" si="108"/>
        <v>0</v>
      </c>
      <c r="BJ119" s="33">
        <f t="shared" si="109"/>
        <v>0</v>
      </c>
      <c r="BK119" s="33"/>
      <c r="BL119" s="33"/>
    </row>
    <row r="120" spans="1:64" ht="15" customHeight="1">
      <c r="A120" s="9" t="s">
        <v>99</v>
      </c>
      <c r="B120" s="1" t="s">
        <v>39</v>
      </c>
      <c r="C120" s="62" t="s">
        <v>214</v>
      </c>
      <c r="D120" s="62"/>
      <c r="E120" s="62"/>
      <c r="F120" s="62"/>
      <c r="G120" s="1" t="s">
        <v>112</v>
      </c>
      <c r="H120" s="33">
        <v>1</v>
      </c>
      <c r="I120" s="33">
        <v>0</v>
      </c>
      <c r="J120" s="33">
        <f t="shared" si="88"/>
        <v>0</v>
      </c>
      <c r="K120" s="33">
        <f t="shared" si="89"/>
        <v>0</v>
      </c>
      <c r="L120" s="33">
        <f t="shared" si="90"/>
        <v>0</v>
      </c>
      <c r="M120" s="26" t="s">
        <v>340</v>
      </c>
      <c r="Z120" s="33">
        <f t="shared" si="91"/>
        <v>0</v>
      </c>
      <c r="AB120" s="33">
        <f t="shared" si="92"/>
        <v>0</v>
      </c>
      <c r="AC120" s="33">
        <f t="shared" si="93"/>
        <v>0</v>
      </c>
      <c r="AD120" s="33">
        <f t="shared" si="94"/>
        <v>0</v>
      </c>
      <c r="AE120" s="33">
        <f t="shared" si="95"/>
        <v>0</v>
      </c>
      <c r="AF120" s="33">
        <f t="shared" si="96"/>
        <v>0</v>
      </c>
      <c r="AG120" s="33">
        <f t="shared" si="97"/>
        <v>0</v>
      </c>
      <c r="AH120" s="33">
        <f t="shared" si="98"/>
        <v>0</v>
      </c>
      <c r="AI120" s="21" t="s">
        <v>284</v>
      </c>
      <c r="AJ120" s="33">
        <f t="shared" si="99"/>
        <v>0</v>
      </c>
      <c r="AK120" s="33">
        <f t="shared" si="100"/>
        <v>0</v>
      </c>
      <c r="AL120" s="33">
        <f t="shared" si="101"/>
        <v>0</v>
      </c>
      <c r="AN120" s="33">
        <v>21</v>
      </c>
      <c r="AO120" s="33">
        <f t="shared" si="110"/>
        <v>0</v>
      </c>
      <c r="AP120" s="33">
        <f t="shared" si="111"/>
        <v>0</v>
      </c>
      <c r="AQ120" s="56" t="s">
        <v>281</v>
      </c>
      <c r="AV120" s="33">
        <f t="shared" si="102"/>
        <v>0</v>
      </c>
      <c r="AW120" s="33">
        <f t="shared" si="103"/>
        <v>0</v>
      </c>
      <c r="AX120" s="33">
        <f t="shared" si="104"/>
        <v>0</v>
      </c>
      <c r="AY120" s="56" t="s">
        <v>414</v>
      </c>
      <c r="AZ120" s="56" t="s">
        <v>151</v>
      </c>
      <c r="BA120" s="21" t="s">
        <v>306</v>
      </c>
      <c r="BC120" s="33">
        <f t="shared" si="105"/>
        <v>0</v>
      </c>
      <c r="BD120" s="33">
        <f t="shared" si="106"/>
        <v>0</v>
      </c>
      <c r="BE120" s="33">
        <v>0</v>
      </c>
      <c r="BF120" s="33">
        <f>120</f>
        <v>120</v>
      </c>
      <c r="BH120" s="33">
        <f t="shared" si="107"/>
        <v>0</v>
      </c>
      <c r="BI120" s="33">
        <f t="shared" si="108"/>
        <v>0</v>
      </c>
      <c r="BJ120" s="33">
        <f t="shared" si="109"/>
        <v>0</v>
      </c>
      <c r="BK120" s="33"/>
      <c r="BL120" s="33"/>
    </row>
    <row r="121" spans="1:64" ht="15" customHeight="1">
      <c r="A121" s="9" t="s">
        <v>317</v>
      </c>
      <c r="B121" s="1" t="s">
        <v>256</v>
      </c>
      <c r="C121" s="62" t="s">
        <v>303</v>
      </c>
      <c r="D121" s="62"/>
      <c r="E121" s="62"/>
      <c r="F121" s="62"/>
      <c r="G121" s="1" t="s">
        <v>112</v>
      </c>
      <c r="H121" s="33">
        <v>1</v>
      </c>
      <c r="I121" s="33">
        <v>0</v>
      </c>
      <c r="J121" s="33">
        <f t="shared" si="88"/>
        <v>0</v>
      </c>
      <c r="K121" s="33">
        <f t="shared" si="89"/>
        <v>0</v>
      </c>
      <c r="L121" s="33">
        <f t="shared" si="90"/>
        <v>0</v>
      </c>
      <c r="M121" s="26" t="s">
        <v>340</v>
      </c>
      <c r="Z121" s="33">
        <f t="shared" si="91"/>
        <v>0</v>
      </c>
      <c r="AB121" s="33">
        <f t="shared" si="92"/>
        <v>0</v>
      </c>
      <c r="AC121" s="33">
        <f t="shared" si="93"/>
        <v>0</v>
      </c>
      <c r="AD121" s="33">
        <f t="shared" si="94"/>
        <v>0</v>
      </c>
      <c r="AE121" s="33">
        <f t="shared" si="95"/>
        <v>0</v>
      </c>
      <c r="AF121" s="33">
        <f t="shared" si="96"/>
        <v>0</v>
      </c>
      <c r="AG121" s="33">
        <f t="shared" si="97"/>
        <v>0</v>
      </c>
      <c r="AH121" s="33">
        <f t="shared" si="98"/>
        <v>0</v>
      </c>
      <c r="AI121" s="21" t="s">
        <v>284</v>
      </c>
      <c r="AJ121" s="33">
        <f t="shared" si="99"/>
        <v>0</v>
      </c>
      <c r="AK121" s="33">
        <f t="shared" si="100"/>
        <v>0</v>
      </c>
      <c r="AL121" s="33">
        <f t="shared" si="101"/>
        <v>0</v>
      </c>
      <c r="AN121" s="33">
        <v>21</v>
      </c>
      <c r="AO121" s="33">
        <f t="shared" si="110"/>
        <v>0</v>
      </c>
      <c r="AP121" s="33">
        <f t="shared" si="111"/>
        <v>0</v>
      </c>
      <c r="AQ121" s="56" t="s">
        <v>281</v>
      </c>
      <c r="AV121" s="33">
        <f t="shared" si="102"/>
        <v>0</v>
      </c>
      <c r="AW121" s="33">
        <f t="shared" si="103"/>
        <v>0</v>
      </c>
      <c r="AX121" s="33">
        <f t="shared" si="104"/>
        <v>0</v>
      </c>
      <c r="AY121" s="56" t="s">
        <v>414</v>
      </c>
      <c r="AZ121" s="56" t="s">
        <v>151</v>
      </c>
      <c r="BA121" s="21" t="s">
        <v>306</v>
      </c>
      <c r="BC121" s="33">
        <f t="shared" si="105"/>
        <v>0</v>
      </c>
      <c r="BD121" s="33">
        <f t="shared" si="106"/>
        <v>0</v>
      </c>
      <c r="BE121" s="33">
        <v>0</v>
      </c>
      <c r="BF121" s="33">
        <f>121</f>
        <v>121</v>
      </c>
      <c r="BH121" s="33">
        <f t="shared" si="107"/>
        <v>0</v>
      </c>
      <c r="BI121" s="33">
        <f t="shared" si="108"/>
        <v>0</v>
      </c>
      <c r="BJ121" s="33">
        <f t="shared" si="109"/>
        <v>0</v>
      </c>
      <c r="BK121" s="33"/>
      <c r="BL121" s="33"/>
    </row>
    <row r="122" spans="1:64" ht="15" customHeight="1">
      <c r="A122" s="9" t="s">
        <v>38</v>
      </c>
      <c r="B122" s="1" t="s">
        <v>267</v>
      </c>
      <c r="C122" s="62" t="s">
        <v>350</v>
      </c>
      <c r="D122" s="62"/>
      <c r="E122" s="62"/>
      <c r="F122" s="62"/>
      <c r="G122" s="1" t="s">
        <v>112</v>
      </c>
      <c r="H122" s="33">
        <v>1</v>
      </c>
      <c r="I122" s="33">
        <v>0</v>
      </c>
      <c r="J122" s="33">
        <f t="shared" si="88"/>
        <v>0</v>
      </c>
      <c r="K122" s="33">
        <f t="shared" si="89"/>
        <v>0</v>
      </c>
      <c r="L122" s="33">
        <f t="shared" si="90"/>
        <v>0</v>
      </c>
      <c r="M122" s="26" t="s">
        <v>340</v>
      </c>
      <c r="Z122" s="33">
        <f t="shared" si="91"/>
        <v>0</v>
      </c>
      <c r="AB122" s="33">
        <f t="shared" si="92"/>
        <v>0</v>
      </c>
      <c r="AC122" s="33">
        <f t="shared" si="93"/>
        <v>0</v>
      </c>
      <c r="AD122" s="33">
        <f t="shared" si="94"/>
        <v>0</v>
      </c>
      <c r="AE122" s="33">
        <f t="shared" si="95"/>
        <v>0</v>
      </c>
      <c r="AF122" s="33">
        <f t="shared" si="96"/>
        <v>0</v>
      </c>
      <c r="AG122" s="33">
        <f t="shared" si="97"/>
        <v>0</v>
      </c>
      <c r="AH122" s="33">
        <f t="shared" si="98"/>
        <v>0</v>
      </c>
      <c r="AI122" s="21" t="s">
        <v>284</v>
      </c>
      <c r="AJ122" s="33">
        <f t="shared" si="99"/>
        <v>0</v>
      </c>
      <c r="AK122" s="33">
        <f t="shared" si="100"/>
        <v>0</v>
      </c>
      <c r="AL122" s="33">
        <f t="shared" si="101"/>
        <v>0</v>
      </c>
      <c r="AN122" s="33">
        <v>21</v>
      </c>
      <c r="AO122" s="33">
        <f>I122*0.427234042553192</f>
        <v>0</v>
      </c>
      <c r="AP122" s="33">
        <f>I122*(1-0.427234042553192)</f>
        <v>0</v>
      </c>
      <c r="AQ122" s="56" t="s">
        <v>281</v>
      </c>
      <c r="AV122" s="33">
        <f t="shared" si="102"/>
        <v>0</v>
      </c>
      <c r="AW122" s="33">
        <f t="shared" si="103"/>
        <v>0</v>
      </c>
      <c r="AX122" s="33">
        <f t="shared" si="104"/>
        <v>0</v>
      </c>
      <c r="AY122" s="56" t="s">
        <v>414</v>
      </c>
      <c r="AZ122" s="56" t="s">
        <v>151</v>
      </c>
      <c r="BA122" s="21" t="s">
        <v>306</v>
      </c>
      <c r="BC122" s="33">
        <f t="shared" si="105"/>
        <v>0</v>
      </c>
      <c r="BD122" s="33">
        <f t="shared" si="106"/>
        <v>0</v>
      </c>
      <c r="BE122" s="33">
        <v>0</v>
      </c>
      <c r="BF122" s="33">
        <f>122</f>
        <v>122</v>
      </c>
      <c r="BH122" s="33">
        <f t="shared" si="107"/>
        <v>0</v>
      </c>
      <c r="BI122" s="33">
        <f t="shared" si="108"/>
        <v>0</v>
      </c>
      <c r="BJ122" s="33">
        <f t="shared" si="109"/>
        <v>0</v>
      </c>
      <c r="BK122" s="33"/>
      <c r="BL122" s="33"/>
    </row>
    <row r="123" spans="1:64" ht="15" customHeight="1">
      <c r="A123" s="9" t="s">
        <v>314</v>
      </c>
      <c r="B123" s="1" t="s">
        <v>202</v>
      </c>
      <c r="C123" s="62" t="s">
        <v>140</v>
      </c>
      <c r="D123" s="62"/>
      <c r="E123" s="62"/>
      <c r="F123" s="62"/>
      <c r="G123" s="1" t="s">
        <v>112</v>
      </c>
      <c r="H123" s="33">
        <v>1</v>
      </c>
      <c r="I123" s="33">
        <v>0</v>
      </c>
      <c r="J123" s="33">
        <f t="shared" si="88"/>
        <v>0</v>
      </c>
      <c r="K123" s="33">
        <f t="shared" si="89"/>
        <v>0</v>
      </c>
      <c r="L123" s="33">
        <f t="shared" si="90"/>
        <v>0</v>
      </c>
      <c r="M123" s="26" t="s">
        <v>340</v>
      </c>
      <c r="Z123" s="33">
        <f t="shared" si="91"/>
        <v>0</v>
      </c>
      <c r="AB123" s="33">
        <f t="shared" si="92"/>
        <v>0</v>
      </c>
      <c r="AC123" s="33">
        <f t="shared" si="93"/>
        <v>0</v>
      </c>
      <c r="AD123" s="33">
        <f t="shared" si="94"/>
        <v>0</v>
      </c>
      <c r="AE123" s="33">
        <f t="shared" si="95"/>
        <v>0</v>
      </c>
      <c r="AF123" s="33">
        <f t="shared" si="96"/>
        <v>0</v>
      </c>
      <c r="AG123" s="33">
        <f t="shared" si="97"/>
        <v>0</v>
      </c>
      <c r="AH123" s="33">
        <f t="shared" si="98"/>
        <v>0</v>
      </c>
      <c r="AI123" s="21" t="s">
        <v>284</v>
      </c>
      <c r="AJ123" s="33">
        <f t="shared" si="99"/>
        <v>0</v>
      </c>
      <c r="AK123" s="33">
        <f t="shared" si="100"/>
        <v>0</v>
      </c>
      <c r="AL123" s="33">
        <f t="shared" si="101"/>
        <v>0</v>
      </c>
      <c r="AN123" s="33">
        <v>21</v>
      </c>
      <c r="AO123" s="33">
        <f>I123*0.676683046683047</f>
        <v>0</v>
      </c>
      <c r="AP123" s="33">
        <f>I123*(1-0.676683046683047)</f>
        <v>0</v>
      </c>
      <c r="AQ123" s="56" t="s">
        <v>281</v>
      </c>
      <c r="AV123" s="33">
        <f t="shared" si="102"/>
        <v>0</v>
      </c>
      <c r="AW123" s="33">
        <f t="shared" si="103"/>
        <v>0</v>
      </c>
      <c r="AX123" s="33">
        <f t="shared" si="104"/>
        <v>0</v>
      </c>
      <c r="AY123" s="56" t="s">
        <v>414</v>
      </c>
      <c r="AZ123" s="56" t="s">
        <v>151</v>
      </c>
      <c r="BA123" s="21" t="s">
        <v>306</v>
      </c>
      <c r="BC123" s="33">
        <f t="shared" si="105"/>
        <v>0</v>
      </c>
      <c r="BD123" s="33">
        <f t="shared" si="106"/>
        <v>0</v>
      </c>
      <c r="BE123" s="33">
        <v>0</v>
      </c>
      <c r="BF123" s="33">
        <f>123</f>
        <v>123</v>
      </c>
      <c r="BH123" s="33">
        <f t="shared" si="107"/>
        <v>0</v>
      </c>
      <c r="BI123" s="33">
        <f t="shared" si="108"/>
        <v>0</v>
      </c>
      <c r="BJ123" s="33">
        <f t="shared" si="109"/>
        <v>0</v>
      </c>
      <c r="BK123" s="33"/>
      <c r="BL123" s="33"/>
    </row>
    <row r="124" spans="1:64" ht="15" customHeight="1">
      <c r="A124" s="9" t="s">
        <v>247</v>
      </c>
      <c r="B124" s="1" t="s">
        <v>348</v>
      </c>
      <c r="C124" s="62" t="s">
        <v>422</v>
      </c>
      <c r="D124" s="62"/>
      <c r="E124" s="62"/>
      <c r="F124" s="62"/>
      <c r="G124" s="1" t="s">
        <v>112</v>
      </c>
      <c r="H124" s="33">
        <v>2</v>
      </c>
      <c r="I124" s="33">
        <v>0</v>
      </c>
      <c r="J124" s="33">
        <f t="shared" si="88"/>
        <v>0</v>
      </c>
      <c r="K124" s="33">
        <f t="shared" si="89"/>
        <v>0</v>
      </c>
      <c r="L124" s="33">
        <f t="shared" si="90"/>
        <v>0</v>
      </c>
      <c r="M124" s="26" t="s">
        <v>340</v>
      </c>
      <c r="Z124" s="33">
        <f t="shared" si="91"/>
        <v>0</v>
      </c>
      <c r="AB124" s="33">
        <f t="shared" si="92"/>
        <v>0</v>
      </c>
      <c r="AC124" s="33">
        <f t="shared" si="93"/>
        <v>0</v>
      </c>
      <c r="AD124" s="33">
        <f t="shared" si="94"/>
        <v>0</v>
      </c>
      <c r="AE124" s="33">
        <f t="shared" si="95"/>
        <v>0</v>
      </c>
      <c r="AF124" s="33">
        <f t="shared" si="96"/>
        <v>0</v>
      </c>
      <c r="AG124" s="33">
        <f t="shared" si="97"/>
        <v>0</v>
      </c>
      <c r="AH124" s="33">
        <f t="shared" si="98"/>
        <v>0</v>
      </c>
      <c r="AI124" s="21" t="s">
        <v>284</v>
      </c>
      <c r="AJ124" s="33">
        <f t="shared" si="99"/>
        <v>0</v>
      </c>
      <c r="AK124" s="33">
        <f t="shared" si="100"/>
        <v>0</v>
      </c>
      <c r="AL124" s="33">
        <f t="shared" si="101"/>
        <v>0</v>
      </c>
      <c r="AN124" s="33">
        <v>21</v>
      </c>
      <c r="AO124" s="33">
        <f>I124*0</f>
        <v>0</v>
      </c>
      <c r="AP124" s="33">
        <f>I124*(1-0)</f>
        <v>0</v>
      </c>
      <c r="AQ124" s="56" t="s">
        <v>281</v>
      </c>
      <c r="AV124" s="33">
        <f t="shared" si="102"/>
        <v>0</v>
      </c>
      <c r="AW124" s="33">
        <f t="shared" si="103"/>
        <v>0</v>
      </c>
      <c r="AX124" s="33">
        <f t="shared" si="104"/>
        <v>0</v>
      </c>
      <c r="AY124" s="56" t="s">
        <v>414</v>
      </c>
      <c r="AZ124" s="56" t="s">
        <v>151</v>
      </c>
      <c r="BA124" s="21" t="s">
        <v>306</v>
      </c>
      <c r="BC124" s="33">
        <f t="shared" si="105"/>
        <v>0</v>
      </c>
      <c r="BD124" s="33">
        <f t="shared" si="106"/>
        <v>0</v>
      </c>
      <c r="BE124" s="33">
        <v>0</v>
      </c>
      <c r="BF124" s="33">
        <f>124</f>
        <v>124</v>
      </c>
      <c r="BH124" s="33">
        <f t="shared" si="107"/>
        <v>0</v>
      </c>
      <c r="BI124" s="33">
        <f t="shared" si="108"/>
        <v>0</v>
      </c>
      <c r="BJ124" s="33">
        <f t="shared" si="109"/>
        <v>0</v>
      </c>
      <c r="BK124" s="33"/>
      <c r="BL124" s="33"/>
    </row>
    <row r="125" spans="1:64" ht="15" customHeight="1">
      <c r="A125" s="9" t="s">
        <v>400</v>
      </c>
      <c r="B125" s="1" t="s">
        <v>24</v>
      </c>
      <c r="C125" s="62" t="s">
        <v>274</v>
      </c>
      <c r="D125" s="62"/>
      <c r="E125" s="62"/>
      <c r="F125" s="62"/>
      <c r="G125" s="1" t="s">
        <v>112</v>
      </c>
      <c r="H125" s="33">
        <v>1</v>
      </c>
      <c r="I125" s="33">
        <v>0</v>
      </c>
      <c r="J125" s="33">
        <f t="shared" si="88"/>
        <v>0</v>
      </c>
      <c r="K125" s="33">
        <f t="shared" si="89"/>
        <v>0</v>
      </c>
      <c r="L125" s="33">
        <f t="shared" si="90"/>
        <v>0</v>
      </c>
      <c r="M125" s="26" t="s">
        <v>340</v>
      </c>
      <c r="Z125" s="33">
        <f t="shared" si="91"/>
        <v>0</v>
      </c>
      <c r="AB125" s="33">
        <f t="shared" si="92"/>
        <v>0</v>
      </c>
      <c r="AC125" s="33">
        <f t="shared" si="93"/>
        <v>0</v>
      </c>
      <c r="AD125" s="33">
        <f t="shared" si="94"/>
        <v>0</v>
      </c>
      <c r="AE125" s="33">
        <f t="shared" si="95"/>
        <v>0</v>
      </c>
      <c r="AF125" s="33">
        <f t="shared" si="96"/>
        <v>0</v>
      </c>
      <c r="AG125" s="33">
        <f t="shared" si="97"/>
        <v>0</v>
      </c>
      <c r="AH125" s="33">
        <f t="shared" si="98"/>
        <v>0</v>
      </c>
      <c r="AI125" s="21" t="s">
        <v>284</v>
      </c>
      <c r="AJ125" s="33">
        <f t="shared" si="99"/>
        <v>0</v>
      </c>
      <c r="AK125" s="33">
        <f t="shared" si="100"/>
        <v>0</v>
      </c>
      <c r="AL125" s="33">
        <f t="shared" si="101"/>
        <v>0</v>
      </c>
      <c r="AN125" s="33">
        <v>21</v>
      </c>
      <c r="AO125" s="33">
        <f>I125*0.614890387858347</f>
        <v>0</v>
      </c>
      <c r="AP125" s="33">
        <f>I125*(1-0.614890387858347)</f>
        <v>0</v>
      </c>
      <c r="AQ125" s="56" t="s">
        <v>281</v>
      </c>
      <c r="AV125" s="33">
        <f t="shared" si="102"/>
        <v>0</v>
      </c>
      <c r="AW125" s="33">
        <f t="shared" si="103"/>
        <v>0</v>
      </c>
      <c r="AX125" s="33">
        <f t="shared" si="104"/>
        <v>0</v>
      </c>
      <c r="AY125" s="56" t="s">
        <v>414</v>
      </c>
      <c r="AZ125" s="56" t="s">
        <v>151</v>
      </c>
      <c r="BA125" s="21" t="s">
        <v>306</v>
      </c>
      <c r="BC125" s="33">
        <f t="shared" si="105"/>
        <v>0</v>
      </c>
      <c r="BD125" s="33">
        <f t="shared" si="106"/>
        <v>0</v>
      </c>
      <c r="BE125" s="33">
        <v>0</v>
      </c>
      <c r="BF125" s="33">
        <f>125</f>
        <v>125</v>
      </c>
      <c r="BH125" s="33">
        <f t="shared" si="107"/>
        <v>0</v>
      </c>
      <c r="BI125" s="33">
        <f t="shared" si="108"/>
        <v>0</v>
      </c>
      <c r="BJ125" s="33">
        <f t="shared" si="109"/>
        <v>0</v>
      </c>
      <c r="BK125" s="33"/>
      <c r="BL125" s="33"/>
    </row>
    <row r="126" spans="1:64" ht="15" customHeight="1">
      <c r="A126" s="9" t="s">
        <v>366</v>
      </c>
      <c r="B126" s="1" t="s">
        <v>122</v>
      </c>
      <c r="C126" s="62" t="s">
        <v>89</v>
      </c>
      <c r="D126" s="62"/>
      <c r="E126" s="62"/>
      <c r="F126" s="62"/>
      <c r="G126" s="1" t="s">
        <v>112</v>
      </c>
      <c r="H126" s="33">
        <v>20</v>
      </c>
      <c r="I126" s="33">
        <v>0</v>
      </c>
      <c r="J126" s="33">
        <f t="shared" si="88"/>
        <v>0</v>
      </c>
      <c r="K126" s="33">
        <f t="shared" si="89"/>
        <v>0</v>
      </c>
      <c r="L126" s="33">
        <f t="shared" si="90"/>
        <v>0</v>
      </c>
      <c r="M126" s="26" t="s">
        <v>340</v>
      </c>
      <c r="Z126" s="33">
        <f t="shared" si="91"/>
        <v>0</v>
      </c>
      <c r="AB126" s="33">
        <f t="shared" si="92"/>
        <v>0</v>
      </c>
      <c r="AC126" s="33">
        <f t="shared" si="93"/>
        <v>0</v>
      </c>
      <c r="AD126" s="33">
        <f t="shared" si="94"/>
        <v>0</v>
      </c>
      <c r="AE126" s="33">
        <f t="shared" si="95"/>
        <v>0</v>
      </c>
      <c r="AF126" s="33">
        <f t="shared" si="96"/>
        <v>0</v>
      </c>
      <c r="AG126" s="33">
        <f t="shared" si="97"/>
        <v>0</v>
      </c>
      <c r="AH126" s="33">
        <f t="shared" si="98"/>
        <v>0</v>
      </c>
      <c r="AI126" s="21" t="s">
        <v>284</v>
      </c>
      <c r="AJ126" s="33">
        <f t="shared" si="99"/>
        <v>0</v>
      </c>
      <c r="AK126" s="33">
        <f t="shared" si="100"/>
        <v>0</v>
      </c>
      <c r="AL126" s="33">
        <f t="shared" si="101"/>
        <v>0</v>
      </c>
      <c r="AN126" s="33">
        <v>21</v>
      </c>
      <c r="AO126" s="33">
        <f>I126*0.6375</f>
        <v>0</v>
      </c>
      <c r="AP126" s="33">
        <f>I126*(1-0.6375)</f>
        <v>0</v>
      </c>
      <c r="AQ126" s="56" t="s">
        <v>281</v>
      </c>
      <c r="AV126" s="33">
        <f t="shared" si="102"/>
        <v>0</v>
      </c>
      <c r="AW126" s="33">
        <f t="shared" si="103"/>
        <v>0</v>
      </c>
      <c r="AX126" s="33">
        <f t="shared" si="104"/>
        <v>0</v>
      </c>
      <c r="AY126" s="56" t="s">
        <v>414</v>
      </c>
      <c r="AZ126" s="56" t="s">
        <v>151</v>
      </c>
      <c r="BA126" s="21" t="s">
        <v>306</v>
      </c>
      <c r="BC126" s="33">
        <f t="shared" si="105"/>
        <v>0</v>
      </c>
      <c r="BD126" s="33">
        <f t="shared" si="106"/>
        <v>0</v>
      </c>
      <c r="BE126" s="33">
        <v>0</v>
      </c>
      <c r="BF126" s="33">
        <f>126</f>
        <v>126</v>
      </c>
      <c r="BH126" s="33">
        <f t="shared" si="107"/>
        <v>0</v>
      </c>
      <c r="BI126" s="33">
        <f t="shared" si="108"/>
        <v>0</v>
      </c>
      <c r="BJ126" s="33">
        <f t="shared" si="109"/>
        <v>0</v>
      </c>
      <c r="BK126" s="33"/>
      <c r="BL126" s="33"/>
    </row>
    <row r="127" spans="1:64" ht="15" customHeight="1">
      <c r="A127" s="9" t="s">
        <v>272</v>
      </c>
      <c r="B127" s="1" t="s">
        <v>425</v>
      </c>
      <c r="C127" s="62" t="s">
        <v>123</v>
      </c>
      <c r="D127" s="62"/>
      <c r="E127" s="62"/>
      <c r="F127" s="62"/>
      <c r="G127" s="1" t="s">
        <v>186</v>
      </c>
      <c r="H127" s="33">
        <v>10</v>
      </c>
      <c r="I127" s="33">
        <v>0</v>
      </c>
      <c r="J127" s="33">
        <f t="shared" si="88"/>
        <v>0</v>
      </c>
      <c r="K127" s="33">
        <f t="shared" si="89"/>
        <v>0</v>
      </c>
      <c r="L127" s="33">
        <f t="shared" si="90"/>
        <v>0</v>
      </c>
      <c r="M127" s="26" t="s">
        <v>340</v>
      </c>
      <c r="Z127" s="33">
        <f t="shared" si="91"/>
        <v>0</v>
      </c>
      <c r="AB127" s="33">
        <f t="shared" si="92"/>
        <v>0</v>
      </c>
      <c r="AC127" s="33">
        <f t="shared" si="93"/>
        <v>0</v>
      </c>
      <c r="AD127" s="33">
        <f t="shared" si="94"/>
        <v>0</v>
      </c>
      <c r="AE127" s="33">
        <f t="shared" si="95"/>
        <v>0</v>
      </c>
      <c r="AF127" s="33">
        <f t="shared" si="96"/>
        <v>0</v>
      </c>
      <c r="AG127" s="33">
        <f t="shared" si="97"/>
        <v>0</v>
      </c>
      <c r="AH127" s="33">
        <f t="shared" si="98"/>
        <v>0</v>
      </c>
      <c r="AI127" s="21" t="s">
        <v>284</v>
      </c>
      <c r="AJ127" s="33">
        <f t="shared" si="99"/>
        <v>0</v>
      </c>
      <c r="AK127" s="33">
        <f t="shared" si="100"/>
        <v>0</v>
      </c>
      <c r="AL127" s="33">
        <f t="shared" si="101"/>
        <v>0</v>
      </c>
      <c r="AN127" s="33">
        <v>21</v>
      </c>
      <c r="AO127" s="33">
        <f>I127*0</f>
        <v>0</v>
      </c>
      <c r="AP127" s="33">
        <f>I127*(1-0)</f>
        <v>0</v>
      </c>
      <c r="AQ127" s="56" t="s">
        <v>281</v>
      </c>
      <c r="AV127" s="33">
        <f t="shared" si="102"/>
        <v>0</v>
      </c>
      <c r="AW127" s="33">
        <f t="shared" si="103"/>
        <v>0</v>
      </c>
      <c r="AX127" s="33">
        <f t="shared" si="104"/>
        <v>0</v>
      </c>
      <c r="AY127" s="56" t="s">
        <v>414</v>
      </c>
      <c r="AZ127" s="56" t="s">
        <v>151</v>
      </c>
      <c r="BA127" s="21" t="s">
        <v>306</v>
      </c>
      <c r="BC127" s="33">
        <f t="shared" si="105"/>
        <v>0</v>
      </c>
      <c r="BD127" s="33">
        <f t="shared" si="106"/>
        <v>0</v>
      </c>
      <c r="BE127" s="33">
        <v>0</v>
      </c>
      <c r="BF127" s="33">
        <f>127</f>
        <v>127</v>
      </c>
      <c r="BH127" s="33">
        <f t="shared" si="107"/>
        <v>0</v>
      </c>
      <c r="BI127" s="33">
        <f t="shared" si="108"/>
        <v>0</v>
      </c>
      <c r="BJ127" s="33">
        <f t="shared" si="109"/>
        <v>0</v>
      </c>
      <c r="BK127" s="33"/>
      <c r="BL127" s="33"/>
    </row>
    <row r="128" spans="1:64" ht="15" customHeight="1">
      <c r="A128" s="9" t="s">
        <v>205</v>
      </c>
      <c r="B128" s="1" t="s">
        <v>292</v>
      </c>
      <c r="C128" s="62" t="s">
        <v>18</v>
      </c>
      <c r="D128" s="62"/>
      <c r="E128" s="62"/>
      <c r="F128" s="62"/>
      <c r="G128" s="1" t="s">
        <v>354</v>
      </c>
      <c r="H128" s="33">
        <v>6</v>
      </c>
      <c r="I128" s="33">
        <v>0</v>
      </c>
      <c r="J128" s="33">
        <f t="shared" si="88"/>
        <v>0</v>
      </c>
      <c r="K128" s="33">
        <f t="shared" si="89"/>
        <v>0</v>
      </c>
      <c r="L128" s="33">
        <f t="shared" si="90"/>
        <v>0</v>
      </c>
      <c r="M128" s="26" t="s">
        <v>284</v>
      </c>
      <c r="Z128" s="33">
        <f t="shared" si="91"/>
        <v>0</v>
      </c>
      <c r="AB128" s="33">
        <f t="shared" si="92"/>
        <v>0</v>
      </c>
      <c r="AC128" s="33">
        <f t="shared" si="93"/>
        <v>0</v>
      </c>
      <c r="AD128" s="33">
        <f t="shared" si="94"/>
        <v>0</v>
      </c>
      <c r="AE128" s="33">
        <f t="shared" si="95"/>
        <v>0</v>
      </c>
      <c r="AF128" s="33">
        <f t="shared" si="96"/>
        <v>0</v>
      </c>
      <c r="AG128" s="33">
        <f t="shared" si="97"/>
        <v>0</v>
      </c>
      <c r="AH128" s="33">
        <f t="shared" si="98"/>
        <v>0</v>
      </c>
      <c r="AI128" s="21" t="s">
        <v>284</v>
      </c>
      <c r="AJ128" s="33">
        <f t="shared" si="99"/>
        <v>0</v>
      </c>
      <c r="AK128" s="33">
        <f t="shared" si="100"/>
        <v>0</v>
      </c>
      <c r="AL128" s="33">
        <f t="shared" si="101"/>
        <v>0</v>
      </c>
      <c r="AN128" s="33">
        <v>21</v>
      </c>
      <c r="AO128" s="33">
        <f>I128*0</f>
        <v>0</v>
      </c>
      <c r="AP128" s="33">
        <f>I128*(1-0)</f>
        <v>0</v>
      </c>
      <c r="AQ128" s="56" t="s">
        <v>281</v>
      </c>
      <c r="AV128" s="33">
        <f t="shared" si="102"/>
        <v>0</v>
      </c>
      <c r="AW128" s="33">
        <f t="shared" si="103"/>
        <v>0</v>
      </c>
      <c r="AX128" s="33">
        <f t="shared" si="104"/>
        <v>0</v>
      </c>
      <c r="AY128" s="56" t="s">
        <v>414</v>
      </c>
      <c r="AZ128" s="56" t="s">
        <v>151</v>
      </c>
      <c r="BA128" s="21" t="s">
        <v>306</v>
      </c>
      <c r="BC128" s="33">
        <f t="shared" si="105"/>
        <v>0</v>
      </c>
      <c r="BD128" s="33">
        <f t="shared" si="106"/>
        <v>0</v>
      </c>
      <c r="BE128" s="33">
        <v>0</v>
      </c>
      <c r="BF128" s="33">
        <f>128</f>
        <v>128</v>
      </c>
      <c r="BH128" s="33">
        <f t="shared" si="107"/>
        <v>0</v>
      </c>
      <c r="BI128" s="33">
        <f t="shared" si="108"/>
        <v>0</v>
      </c>
      <c r="BJ128" s="33">
        <f t="shared" si="109"/>
        <v>0</v>
      </c>
      <c r="BK128" s="33"/>
      <c r="BL128" s="33"/>
    </row>
    <row r="129" spans="1:47" ht="15" customHeight="1">
      <c r="A129" s="30" t="s">
        <v>284</v>
      </c>
      <c r="B129" s="42" t="s">
        <v>137</v>
      </c>
      <c r="C129" s="78" t="s">
        <v>179</v>
      </c>
      <c r="D129" s="78"/>
      <c r="E129" s="78"/>
      <c r="F129" s="78"/>
      <c r="G129" s="53" t="s">
        <v>368</v>
      </c>
      <c r="H129" s="53" t="s">
        <v>368</v>
      </c>
      <c r="I129" s="53" t="s">
        <v>368</v>
      </c>
      <c r="J129" s="14">
        <f>SUM(J130:J145)</f>
        <v>0</v>
      </c>
      <c r="K129" s="14">
        <f>SUM(K130:K145)</f>
        <v>0</v>
      </c>
      <c r="L129" s="14">
        <f>SUM(L130:L145)</f>
        <v>0</v>
      </c>
      <c r="M129" s="55" t="s">
        <v>284</v>
      </c>
      <c r="AI129" s="21" t="s">
        <v>284</v>
      </c>
      <c r="AS129" s="14">
        <f>SUM(AJ130:AJ145)</f>
        <v>0</v>
      </c>
      <c r="AT129" s="14">
        <f>SUM(AK130:AK145)</f>
        <v>0</v>
      </c>
      <c r="AU129" s="14">
        <f>SUM(AL130:AL145)</f>
        <v>0</v>
      </c>
    </row>
    <row r="130" spans="1:64" ht="15" customHeight="1">
      <c r="A130" s="9" t="s">
        <v>103</v>
      </c>
      <c r="B130" s="1" t="s">
        <v>419</v>
      </c>
      <c r="C130" s="62" t="s">
        <v>353</v>
      </c>
      <c r="D130" s="62"/>
      <c r="E130" s="62"/>
      <c r="F130" s="62"/>
      <c r="G130" s="1" t="s">
        <v>192</v>
      </c>
      <c r="H130" s="33">
        <v>1.441</v>
      </c>
      <c r="I130" s="33">
        <v>0</v>
      </c>
      <c r="J130" s="33">
        <f>H130*AO130</f>
        <v>0</v>
      </c>
      <c r="K130" s="33">
        <f>H130*AP130</f>
        <v>0</v>
      </c>
      <c r="L130" s="33">
        <f>H130*I130</f>
        <v>0</v>
      </c>
      <c r="M130" s="26" t="s">
        <v>157</v>
      </c>
      <c r="Z130" s="33">
        <f>IF(AQ130="5",BJ130,0)</f>
        <v>0</v>
      </c>
      <c r="AB130" s="33">
        <f>IF(AQ130="1",BH130,0)</f>
        <v>0</v>
      </c>
      <c r="AC130" s="33">
        <f>IF(AQ130="1",BI130,0)</f>
        <v>0</v>
      </c>
      <c r="AD130" s="33">
        <f>IF(AQ130="7",BH130,0)</f>
        <v>0</v>
      </c>
      <c r="AE130" s="33">
        <f>IF(AQ130="7",BI130,0)</f>
        <v>0</v>
      </c>
      <c r="AF130" s="33">
        <f>IF(AQ130="2",BH130,0)</f>
        <v>0</v>
      </c>
      <c r="AG130" s="33">
        <f>IF(AQ130="2",BI130,0)</f>
        <v>0</v>
      </c>
      <c r="AH130" s="33">
        <f>IF(AQ130="0",BJ130,0)</f>
        <v>0</v>
      </c>
      <c r="AI130" s="21" t="s">
        <v>284</v>
      </c>
      <c r="AJ130" s="33">
        <f>IF(AN130=0,L130,0)</f>
        <v>0</v>
      </c>
      <c r="AK130" s="33">
        <f>IF(AN130=15,L130,0)</f>
        <v>0</v>
      </c>
      <c r="AL130" s="33">
        <f>IF(AN130=21,L130,0)</f>
        <v>0</v>
      </c>
      <c r="AN130" s="33">
        <v>21</v>
      </c>
      <c r="AO130" s="33">
        <f>I130*0</f>
        <v>0</v>
      </c>
      <c r="AP130" s="33">
        <f>I130*(1-0)</f>
        <v>0</v>
      </c>
      <c r="AQ130" s="56" t="s">
        <v>212</v>
      </c>
      <c r="AV130" s="33">
        <f>AW130+AX130</f>
        <v>0</v>
      </c>
      <c r="AW130" s="33">
        <f>H130*AO130</f>
        <v>0</v>
      </c>
      <c r="AX130" s="33">
        <f>H130*AP130</f>
        <v>0</v>
      </c>
      <c r="AY130" s="56" t="s">
        <v>171</v>
      </c>
      <c r="AZ130" s="56" t="s">
        <v>151</v>
      </c>
      <c r="BA130" s="21" t="s">
        <v>306</v>
      </c>
      <c r="BC130" s="33">
        <f>AW130+AX130</f>
        <v>0</v>
      </c>
      <c r="BD130" s="33">
        <f>I130/(100-BE130)*100</f>
        <v>0</v>
      </c>
      <c r="BE130" s="33">
        <v>0</v>
      </c>
      <c r="BF130" s="33">
        <f>130</f>
        <v>130</v>
      </c>
      <c r="BH130" s="33">
        <f>H130*AO130</f>
        <v>0</v>
      </c>
      <c r="BI130" s="33">
        <f>H130*AP130</f>
        <v>0</v>
      </c>
      <c r="BJ130" s="33">
        <f>H130*I130</f>
        <v>0</v>
      </c>
      <c r="BK130" s="33"/>
      <c r="BL130" s="33"/>
    </row>
    <row r="131" spans="1:13" ht="15" customHeight="1">
      <c r="A131" s="46"/>
      <c r="C131" s="29" t="s">
        <v>228</v>
      </c>
      <c r="F131" s="29" t="s">
        <v>284</v>
      </c>
      <c r="H131" s="8">
        <v>1.3710000000000002</v>
      </c>
      <c r="M131" s="38"/>
    </row>
    <row r="132" spans="1:13" ht="15" customHeight="1">
      <c r="A132" s="46"/>
      <c r="C132" s="29" t="s">
        <v>7</v>
      </c>
      <c r="F132" s="29" t="s">
        <v>284</v>
      </c>
      <c r="H132" s="8">
        <v>0.07</v>
      </c>
      <c r="M132" s="38"/>
    </row>
    <row r="133" spans="1:64" ht="15" customHeight="1">
      <c r="A133" s="9" t="s">
        <v>37</v>
      </c>
      <c r="B133" s="1" t="s">
        <v>399</v>
      </c>
      <c r="C133" s="62" t="s">
        <v>397</v>
      </c>
      <c r="D133" s="62"/>
      <c r="E133" s="62"/>
      <c r="F133" s="62"/>
      <c r="G133" s="1" t="s">
        <v>192</v>
      </c>
      <c r="H133" s="33">
        <v>1.441</v>
      </c>
      <c r="I133" s="33">
        <v>0</v>
      </c>
      <c r="J133" s="33">
        <f>H133*AO133</f>
        <v>0</v>
      </c>
      <c r="K133" s="33">
        <f>H133*AP133</f>
        <v>0</v>
      </c>
      <c r="L133" s="33">
        <f>H133*I133</f>
        <v>0</v>
      </c>
      <c r="M133" s="26" t="s">
        <v>157</v>
      </c>
      <c r="Z133" s="33">
        <f>IF(AQ133="5",BJ133,0)</f>
        <v>0</v>
      </c>
      <c r="AB133" s="33">
        <f>IF(AQ133="1",BH133,0)</f>
        <v>0</v>
      </c>
      <c r="AC133" s="33">
        <f>IF(AQ133="1",BI133,0)</f>
        <v>0</v>
      </c>
      <c r="AD133" s="33">
        <f>IF(AQ133="7",BH133,0)</f>
        <v>0</v>
      </c>
      <c r="AE133" s="33">
        <f>IF(AQ133="7",BI133,0)</f>
        <v>0</v>
      </c>
      <c r="AF133" s="33">
        <f>IF(AQ133="2",BH133,0)</f>
        <v>0</v>
      </c>
      <c r="AG133" s="33">
        <f>IF(AQ133="2",BI133,0)</f>
        <v>0</v>
      </c>
      <c r="AH133" s="33">
        <f>IF(AQ133="0",BJ133,0)</f>
        <v>0</v>
      </c>
      <c r="AI133" s="21" t="s">
        <v>284</v>
      </c>
      <c r="AJ133" s="33">
        <f>IF(AN133=0,L133,0)</f>
        <v>0</v>
      </c>
      <c r="AK133" s="33">
        <f>IF(AN133=15,L133,0)</f>
        <v>0</v>
      </c>
      <c r="AL133" s="33">
        <f>IF(AN133=21,L133,0)</f>
        <v>0</v>
      </c>
      <c r="AN133" s="33">
        <v>21</v>
      </c>
      <c r="AO133" s="33">
        <f>I133*0</f>
        <v>0</v>
      </c>
      <c r="AP133" s="33">
        <f>I133*(1-0)</f>
        <v>0</v>
      </c>
      <c r="AQ133" s="56" t="s">
        <v>212</v>
      </c>
      <c r="AV133" s="33">
        <f>AW133+AX133</f>
        <v>0</v>
      </c>
      <c r="AW133" s="33">
        <f>H133*AO133</f>
        <v>0</v>
      </c>
      <c r="AX133" s="33">
        <f>H133*AP133</f>
        <v>0</v>
      </c>
      <c r="AY133" s="56" t="s">
        <v>171</v>
      </c>
      <c r="AZ133" s="56" t="s">
        <v>151</v>
      </c>
      <c r="BA133" s="21" t="s">
        <v>306</v>
      </c>
      <c r="BC133" s="33">
        <f>AW133+AX133</f>
        <v>0</v>
      </c>
      <c r="BD133" s="33">
        <f>I133/(100-BE133)*100</f>
        <v>0</v>
      </c>
      <c r="BE133" s="33">
        <v>0</v>
      </c>
      <c r="BF133" s="33">
        <f>133</f>
        <v>133</v>
      </c>
      <c r="BH133" s="33">
        <f>H133*AO133</f>
        <v>0</v>
      </c>
      <c r="BI133" s="33">
        <f>H133*AP133</f>
        <v>0</v>
      </c>
      <c r="BJ133" s="33">
        <f>H133*I133</f>
        <v>0</v>
      </c>
      <c r="BK133" s="33"/>
      <c r="BL133" s="33"/>
    </row>
    <row r="134" spans="1:13" ht="15" customHeight="1">
      <c r="A134" s="46"/>
      <c r="C134" s="29" t="s">
        <v>170</v>
      </c>
      <c r="F134" s="29" t="s">
        <v>284</v>
      </c>
      <c r="H134" s="8">
        <v>1.3710000000000002</v>
      </c>
      <c r="M134" s="38"/>
    </row>
    <row r="135" spans="1:13" ht="15" customHeight="1">
      <c r="A135" s="46"/>
      <c r="C135" s="29" t="s">
        <v>7</v>
      </c>
      <c r="F135" s="29" t="s">
        <v>284</v>
      </c>
      <c r="H135" s="8">
        <v>0.07</v>
      </c>
      <c r="M135" s="38"/>
    </row>
    <row r="136" spans="1:64" ht="15" customHeight="1">
      <c r="A136" s="9" t="s">
        <v>387</v>
      </c>
      <c r="B136" s="1" t="s">
        <v>342</v>
      </c>
      <c r="C136" s="62" t="s">
        <v>332</v>
      </c>
      <c r="D136" s="62"/>
      <c r="E136" s="62"/>
      <c r="F136" s="62"/>
      <c r="G136" s="1" t="s">
        <v>192</v>
      </c>
      <c r="H136" s="33">
        <v>27.387</v>
      </c>
      <c r="I136" s="33">
        <v>0</v>
      </c>
      <c r="J136" s="33">
        <f>H136*AO136</f>
        <v>0</v>
      </c>
      <c r="K136" s="33">
        <f>H136*AP136</f>
        <v>0</v>
      </c>
      <c r="L136" s="33">
        <f>H136*I136</f>
        <v>0</v>
      </c>
      <c r="M136" s="26" t="s">
        <v>157</v>
      </c>
      <c r="Z136" s="33">
        <f>IF(AQ136="5",BJ136,0)</f>
        <v>0</v>
      </c>
      <c r="AB136" s="33">
        <f>IF(AQ136="1",BH136,0)</f>
        <v>0</v>
      </c>
      <c r="AC136" s="33">
        <f>IF(AQ136="1",BI136,0)</f>
        <v>0</v>
      </c>
      <c r="AD136" s="33">
        <f>IF(AQ136="7",BH136,0)</f>
        <v>0</v>
      </c>
      <c r="AE136" s="33">
        <f>IF(AQ136="7",BI136,0)</f>
        <v>0</v>
      </c>
      <c r="AF136" s="33">
        <f>IF(AQ136="2",BH136,0)</f>
        <v>0</v>
      </c>
      <c r="AG136" s="33">
        <f>IF(AQ136="2",BI136,0)</f>
        <v>0</v>
      </c>
      <c r="AH136" s="33">
        <f>IF(AQ136="0",BJ136,0)</f>
        <v>0</v>
      </c>
      <c r="AI136" s="21" t="s">
        <v>284</v>
      </c>
      <c r="AJ136" s="33">
        <f>IF(AN136=0,L136,0)</f>
        <v>0</v>
      </c>
      <c r="AK136" s="33">
        <f>IF(AN136=15,L136,0)</f>
        <v>0</v>
      </c>
      <c r="AL136" s="33">
        <f>IF(AN136=21,L136,0)</f>
        <v>0</v>
      </c>
      <c r="AN136" s="33">
        <v>21</v>
      </c>
      <c r="AO136" s="33">
        <f>I136*0</f>
        <v>0</v>
      </c>
      <c r="AP136" s="33">
        <f>I136*(1-0)</f>
        <v>0</v>
      </c>
      <c r="AQ136" s="56" t="s">
        <v>212</v>
      </c>
      <c r="AV136" s="33">
        <f>AW136+AX136</f>
        <v>0</v>
      </c>
      <c r="AW136" s="33">
        <f>H136*AO136</f>
        <v>0</v>
      </c>
      <c r="AX136" s="33">
        <f>H136*AP136</f>
        <v>0</v>
      </c>
      <c r="AY136" s="56" t="s">
        <v>171</v>
      </c>
      <c r="AZ136" s="56" t="s">
        <v>151</v>
      </c>
      <c r="BA136" s="21" t="s">
        <v>306</v>
      </c>
      <c r="BC136" s="33">
        <f>AW136+AX136</f>
        <v>0</v>
      </c>
      <c r="BD136" s="33">
        <f>I136/(100-BE136)*100</f>
        <v>0</v>
      </c>
      <c r="BE136" s="33">
        <v>0</v>
      </c>
      <c r="BF136" s="33">
        <f>136</f>
        <v>136</v>
      </c>
      <c r="BH136" s="33">
        <f>H136*AO136</f>
        <v>0</v>
      </c>
      <c r="BI136" s="33">
        <f>H136*AP136</f>
        <v>0</v>
      </c>
      <c r="BJ136" s="33">
        <f>H136*I136</f>
        <v>0</v>
      </c>
      <c r="BK136" s="33"/>
      <c r="BL136" s="33"/>
    </row>
    <row r="137" spans="1:13" ht="15" customHeight="1">
      <c r="A137" s="46"/>
      <c r="C137" s="29" t="s">
        <v>430</v>
      </c>
      <c r="F137" s="29" t="s">
        <v>284</v>
      </c>
      <c r="H137" s="8">
        <v>26.057000000000002</v>
      </c>
      <c r="M137" s="38"/>
    </row>
    <row r="138" spans="1:13" ht="15" customHeight="1">
      <c r="A138" s="46"/>
      <c r="C138" s="29" t="s">
        <v>29</v>
      </c>
      <c r="F138" s="29" t="s">
        <v>284</v>
      </c>
      <c r="H138" s="8">
        <v>1.33</v>
      </c>
      <c r="M138" s="38"/>
    </row>
    <row r="139" spans="1:64" ht="15" customHeight="1">
      <c r="A139" s="9" t="s">
        <v>77</v>
      </c>
      <c r="B139" s="1" t="s">
        <v>249</v>
      </c>
      <c r="C139" s="62" t="s">
        <v>304</v>
      </c>
      <c r="D139" s="62"/>
      <c r="E139" s="62"/>
      <c r="F139" s="62"/>
      <c r="G139" s="1" t="s">
        <v>192</v>
      </c>
      <c r="H139" s="33">
        <v>1.441</v>
      </c>
      <c r="I139" s="33">
        <v>0</v>
      </c>
      <c r="J139" s="33">
        <f>H139*AO139</f>
        <v>0</v>
      </c>
      <c r="K139" s="33">
        <f>H139*AP139</f>
        <v>0</v>
      </c>
      <c r="L139" s="33">
        <f>H139*I139</f>
        <v>0</v>
      </c>
      <c r="M139" s="26" t="s">
        <v>157</v>
      </c>
      <c r="Z139" s="33">
        <f>IF(AQ139="5",BJ139,0)</f>
        <v>0</v>
      </c>
      <c r="AB139" s="33">
        <f>IF(AQ139="1",BH139,0)</f>
        <v>0</v>
      </c>
      <c r="AC139" s="33">
        <f>IF(AQ139="1",BI139,0)</f>
        <v>0</v>
      </c>
      <c r="AD139" s="33">
        <f>IF(AQ139="7",BH139,0)</f>
        <v>0</v>
      </c>
      <c r="AE139" s="33">
        <f>IF(AQ139="7",BI139,0)</f>
        <v>0</v>
      </c>
      <c r="AF139" s="33">
        <f>IF(AQ139="2",BH139,0)</f>
        <v>0</v>
      </c>
      <c r="AG139" s="33">
        <f>IF(AQ139="2",BI139,0)</f>
        <v>0</v>
      </c>
      <c r="AH139" s="33">
        <f>IF(AQ139="0",BJ139,0)</f>
        <v>0</v>
      </c>
      <c r="AI139" s="21" t="s">
        <v>284</v>
      </c>
      <c r="AJ139" s="33">
        <f>IF(AN139=0,L139,0)</f>
        <v>0</v>
      </c>
      <c r="AK139" s="33">
        <f>IF(AN139=15,L139,0)</f>
        <v>0</v>
      </c>
      <c r="AL139" s="33">
        <f>IF(AN139=21,L139,0)</f>
        <v>0</v>
      </c>
      <c r="AN139" s="33">
        <v>21</v>
      </c>
      <c r="AO139" s="33">
        <f>I139*0</f>
        <v>0</v>
      </c>
      <c r="AP139" s="33">
        <f>I139*(1-0)</f>
        <v>0</v>
      </c>
      <c r="AQ139" s="56" t="s">
        <v>212</v>
      </c>
      <c r="AV139" s="33">
        <f>AW139+AX139</f>
        <v>0</v>
      </c>
      <c r="AW139" s="33">
        <f>H139*AO139</f>
        <v>0</v>
      </c>
      <c r="AX139" s="33">
        <f>H139*AP139</f>
        <v>0</v>
      </c>
      <c r="AY139" s="56" t="s">
        <v>171</v>
      </c>
      <c r="AZ139" s="56" t="s">
        <v>151</v>
      </c>
      <c r="BA139" s="21" t="s">
        <v>306</v>
      </c>
      <c r="BC139" s="33">
        <f>AW139+AX139</f>
        <v>0</v>
      </c>
      <c r="BD139" s="33">
        <f>I139/(100-BE139)*100</f>
        <v>0</v>
      </c>
      <c r="BE139" s="33">
        <v>0</v>
      </c>
      <c r="BF139" s="33">
        <f>139</f>
        <v>139</v>
      </c>
      <c r="BH139" s="33">
        <f>H139*AO139</f>
        <v>0</v>
      </c>
      <c r="BI139" s="33">
        <f>H139*AP139</f>
        <v>0</v>
      </c>
      <c r="BJ139" s="33">
        <f>H139*I139</f>
        <v>0</v>
      </c>
      <c r="BK139" s="33"/>
      <c r="BL139" s="33"/>
    </row>
    <row r="140" spans="1:13" ht="15" customHeight="1">
      <c r="A140" s="46"/>
      <c r="C140" s="29" t="s">
        <v>170</v>
      </c>
      <c r="F140" s="29" t="s">
        <v>284</v>
      </c>
      <c r="H140" s="8">
        <v>1.3710000000000002</v>
      </c>
      <c r="M140" s="38"/>
    </row>
    <row r="141" spans="1:13" ht="15" customHeight="1">
      <c r="A141" s="46"/>
      <c r="C141" s="29" t="s">
        <v>7</v>
      </c>
      <c r="F141" s="29" t="s">
        <v>284</v>
      </c>
      <c r="H141" s="8">
        <v>0.07</v>
      </c>
      <c r="M141" s="38"/>
    </row>
    <row r="142" spans="1:64" ht="15" customHeight="1">
      <c r="A142" s="9" t="s">
        <v>84</v>
      </c>
      <c r="B142" s="1" t="s">
        <v>278</v>
      </c>
      <c r="C142" s="62" t="s">
        <v>360</v>
      </c>
      <c r="D142" s="62"/>
      <c r="E142" s="62"/>
      <c r="F142" s="62"/>
      <c r="G142" s="1" t="s">
        <v>192</v>
      </c>
      <c r="H142" s="33">
        <v>1.441</v>
      </c>
      <c r="I142" s="33">
        <v>0</v>
      </c>
      <c r="J142" s="33">
        <f>H142*AO142</f>
        <v>0</v>
      </c>
      <c r="K142" s="33">
        <f>H142*AP142</f>
        <v>0</v>
      </c>
      <c r="L142" s="33">
        <f>H142*I142</f>
        <v>0</v>
      </c>
      <c r="M142" s="26" t="s">
        <v>157</v>
      </c>
      <c r="Z142" s="33">
        <f>IF(AQ142="5",BJ142,0)</f>
        <v>0</v>
      </c>
      <c r="AB142" s="33">
        <f>IF(AQ142="1",BH142,0)</f>
        <v>0</v>
      </c>
      <c r="AC142" s="33">
        <f>IF(AQ142="1",BI142,0)</f>
        <v>0</v>
      </c>
      <c r="AD142" s="33">
        <f>IF(AQ142="7",BH142,0)</f>
        <v>0</v>
      </c>
      <c r="AE142" s="33">
        <f>IF(AQ142="7",BI142,0)</f>
        <v>0</v>
      </c>
      <c r="AF142" s="33">
        <f>IF(AQ142="2",BH142,0)</f>
        <v>0</v>
      </c>
      <c r="AG142" s="33">
        <f>IF(AQ142="2",BI142,0)</f>
        <v>0</v>
      </c>
      <c r="AH142" s="33">
        <f>IF(AQ142="0",BJ142,0)</f>
        <v>0</v>
      </c>
      <c r="AI142" s="21" t="s">
        <v>284</v>
      </c>
      <c r="AJ142" s="33">
        <f>IF(AN142=0,L142,0)</f>
        <v>0</v>
      </c>
      <c r="AK142" s="33">
        <f>IF(AN142=15,L142,0)</f>
        <v>0</v>
      </c>
      <c r="AL142" s="33">
        <f>IF(AN142=21,L142,0)</f>
        <v>0</v>
      </c>
      <c r="AN142" s="33">
        <v>21</v>
      </c>
      <c r="AO142" s="33">
        <f>I142*0</f>
        <v>0</v>
      </c>
      <c r="AP142" s="33">
        <f>I142*(1-0)</f>
        <v>0</v>
      </c>
      <c r="AQ142" s="56" t="s">
        <v>212</v>
      </c>
      <c r="AV142" s="33">
        <f>AW142+AX142</f>
        <v>0</v>
      </c>
      <c r="AW142" s="33">
        <f>H142*AO142</f>
        <v>0</v>
      </c>
      <c r="AX142" s="33">
        <f>H142*AP142</f>
        <v>0</v>
      </c>
      <c r="AY142" s="56" t="s">
        <v>171</v>
      </c>
      <c r="AZ142" s="56" t="s">
        <v>151</v>
      </c>
      <c r="BA142" s="21" t="s">
        <v>306</v>
      </c>
      <c r="BC142" s="33">
        <f>AW142+AX142</f>
        <v>0</v>
      </c>
      <c r="BD142" s="33">
        <f>I142/(100-BE142)*100</f>
        <v>0</v>
      </c>
      <c r="BE142" s="33">
        <v>0</v>
      </c>
      <c r="BF142" s="33">
        <f>142</f>
        <v>142</v>
      </c>
      <c r="BH142" s="33">
        <f>H142*AO142</f>
        <v>0</v>
      </c>
      <c r="BI142" s="33">
        <f>H142*AP142</f>
        <v>0</v>
      </c>
      <c r="BJ142" s="33">
        <f>H142*I142</f>
        <v>0</v>
      </c>
      <c r="BK142" s="33"/>
      <c r="BL142" s="33"/>
    </row>
    <row r="143" spans="1:13" ht="15" customHeight="1">
      <c r="A143" s="46"/>
      <c r="C143" s="29" t="s">
        <v>170</v>
      </c>
      <c r="F143" s="29" t="s">
        <v>284</v>
      </c>
      <c r="H143" s="8">
        <v>1.3710000000000002</v>
      </c>
      <c r="M143" s="38"/>
    </row>
    <row r="144" spans="1:13" ht="15" customHeight="1">
      <c r="A144" s="46"/>
      <c r="C144" s="29" t="s">
        <v>7</v>
      </c>
      <c r="F144" s="29" t="s">
        <v>284</v>
      </c>
      <c r="H144" s="8">
        <v>0.07</v>
      </c>
      <c r="M144" s="38"/>
    </row>
    <row r="145" spans="1:64" ht="15" customHeight="1">
      <c r="A145" s="9" t="s">
        <v>405</v>
      </c>
      <c r="B145" s="1" t="s">
        <v>248</v>
      </c>
      <c r="C145" s="62" t="s">
        <v>8</v>
      </c>
      <c r="D145" s="62"/>
      <c r="E145" s="62"/>
      <c r="F145" s="62"/>
      <c r="G145" s="1" t="s">
        <v>192</v>
      </c>
      <c r="H145" s="33">
        <v>10.09</v>
      </c>
      <c r="I145" s="33">
        <v>0</v>
      </c>
      <c r="J145" s="33">
        <f>H145*AO145</f>
        <v>0</v>
      </c>
      <c r="K145" s="33">
        <f>H145*AP145</f>
        <v>0</v>
      </c>
      <c r="L145" s="33">
        <f>H145*I145</f>
        <v>0</v>
      </c>
      <c r="M145" s="26" t="s">
        <v>157</v>
      </c>
      <c r="Z145" s="33">
        <f>IF(AQ145="5",BJ145,0)</f>
        <v>0</v>
      </c>
      <c r="AB145" s="33">
        <f>IF(AQ145="1",BH145,0)</f>
        <v>0</v>
      </c>
      <c r="AC145" s="33">
        <f>IF(AQ145="1",BI145,0)</f>
        <v>0</v>
      </c>
      <c r="AD145" s="33">
        <f>IF(AQ145="7",BH145,0)</f>
        <v>0</v>
      </c>
      <c r="AE145" s="33">
        <f>IF(AQ145="7",BI145,0)</f>
        <v>0</v>
      </c>
      <c r="AF145" s="33">
        <f>IF(AQ145="2",BH145,0)</f>
        <v>0</v>
      </c>
      <c r="AG145" s="33">
        <f>IF(AQ145="2",BI145,0)</f>
        <v>0</v>
      </c>
      <c r="AH145" s="33">
        <f>IF(AQ145="0",BJ145,0)</f>
        <v>0</v>
      </c>
      <c r="AI145" s="21" t="s">
        <v>284</v>
      </c>
      <c r="AJ145" s="33">
        <f>IF(AN145=0,L145,0)</f>
        <v>0</v>
      </c>
      <c r="AK145" s="33">
        <f>IF(AN145=15,L145,0)</f>
        <v>0</v>
      </c>
      <c r="AL145" s="33">
        <f>IF(AN145=21,L145,0)</f>
        <v>0</v>
      </c>
      <c r="AN145" s="33">
        <v>21</v>
      </c>
      <c r="AO145" s="33">
        <f>I145*0</f>
        <v>0</v>
      </c>
      <c r="AP145" s="33">
        <f>I145*(1-0)</f>
        <v>0</v>
      </c>
      <c r="AQ145" s="56" t="s">
        <v>212</v>
      </c>
      <c r="AV145" s="33">
        <f>AW145+AX145</f>
        <v>0</v>
      </c>
      <c r="AW145" s="33">
        <f>H145*AO145</f>
        <v>0</v>
      </c>
      <c r="AX145" s="33">
        <f>H145*AP145</f>
        <v>0</v>
      </c>
      <c r="AY145" s="56" t="s">
        <v>171</v>
      </c>
      <c r="AZ145" s="56" t="s">
        <v>151</v>
      </c>
      <c r="BA145" s="21" t="s">
        <v>306</v>
      </c>
      <c r="BC145" s="33">
        <f>AW145+AX145</f>
        <v>0</v>
      </c>
      <c r="BD145" s="33">
        <f>I145/(100-BE145)*100</f>
        <v>0</v>
      </c>
      <c r="BE145" s="33">
        <v>0</v>
      </c>
      <c r="BF145" s="33">
        <f>145</f>
        <v>145</v>
      </c>
      <c r="BH145" s="33">
        <f>H145*AO145</f>
        <v>0</v>
      </c>
      <c r="BI145" s="33">
        <f>H145*AP145</f>
        <v>0</v>
      </c>
      <c r="BJ145" s="33">
        <f>H145*I145</f>
        <v>0</v>
      </c>
      <c r="BK145" s="33"/>
      <c r="BL145" s="33"/>
    </row>
    <row r="146" spans="1:13" ht="15" customHeight="1">
      <c r="A146" s="46"/>
      <c r="C146" s="29" t="s">
        <v>128</v>
      </c>
      <c r="F146" s="29" t="s">
        <v>284</v>
      </c>
      <c r="H146" s="8">
        <v>9.600000000000001</v>
      </c>
      <c r="M146" s="38"/>
    </row>
    <row r="147" spans="1:13" ht="15" customHeight="1">
      <c r="A147" s="23"/>
      <c r="B147" s="49"/>
      <c r="C147" s="6" t="s">
        <v>222</v>
      </c>
      <c r="D147" s="49"/>
      <c r="E147" s="49"/>
      <c r="F147" s="6" t="s">
        <v>284</v>
      </c>
      <c r="G147" s="49"/>
      <c r="H147" s="34">
        <v>0.49000000000000005</v>
      </c>
      <c r="I147" s="49"/>
      <c r="J147" s="49"/>
      <c r="K147" s="49"/>
      <c r="L147" s="49"/>
      <c r="M147" s="19"/>
    </row>
    <row r="148" spans="10:12" ht="15" customHeight="1">
      <c r="J148" s="68" t="s">
        <v>320</v>
      </c>
      <c r="K148" s="68"/>
      <c r="L148" s="40">
        <f>L12+L15+L25+L32+L51+L54+L62+L70+L77+L80+L82+L104+L107+L129</f>
        <v>0</v>
      </c>
    </row>
    <row r="149" ht="15" customHeight="1">
      <c r="A149" s="3" t="s">
        <v>34</v>
      </c>
    </row>
    <row r="150" spans="1:13" ht="12.75" customHeight="1">
      <c r="A150" s="65" t="s">
        <v>284</v>
      </c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</row>
  </sheetData>
  <sheetProtection/>
  <mergeCells count="127">
    <mergeCell ref="C139:F139"/>
    <mergeCell ref="C142:F142"/>
    <mergeCell ref="C145:F145"/>
    <mergeCell ref="J148:K148"/>
    <mergeCell ref="A150:M150"/>
    <mergeCell ref="C127:F127"/>
    <mergeCell ref="C128:F128"/>
    <mergeCell ref="C129:F129"/>
    <mergeCell ref="C130:F130"/>
    <mergeCell ref="C133:F133"/>
    <mergeCell ref="C136:F136"/>
    <mergeCell ref="C121:F121"/>
    <mergeCell ref="C122:F122"/>
    <mergeCell ref="C123:F123"/>
    <mergeCell ref="C124:F124"/>
    <mergeCell ref="C125:F125"/>
    <mergeCell ref="C126:F126"/>
    <mergeCell ref="C115:F115"/>
    <mergeCell ref="C116:F116"/>
    <mergeCell ref="C117:F117"/>
    <mergeCell ref="C118:F118"/>
    <mergeCell ref="C119:F119"/>
    <mergeCell ref="C120:F120"/>
    <mergeCell ref="C109:F109"/>
    <mergeCell ref="C110:F110"/>
    <mergeCell ref="C111:F111"/>
    <mergeCell ref="C112:F112"/>
    <mergeCell ref="C113:F113"/>
    <mergeCell ref="C114:F114"/>
    <mergeCell ref="C102:F102"/>
    <mergeCell ref="C103:F103"/>
    <mergeCell ref="C104:F104"/>
    <mergeCell ref="C105:F105"/>
    <mergeCell ref="C107:F107"/>
    <mergeCell ref="C108:F108"/>
    <mergeCell ref="C91:F91"/>
    <mergeCell ref="C93:F93"/>
    <mergeCell ref="C95:F95"/>
    <mergeCell ref="C97:F97"/>
    <mergeCell ref="C98:F98"/>
    <mergeCell ref="C101:F101"/>
    <mergeCell ref="C81:F81"/>
    <mergeCell ref="C82:F82"/>
    <mergeCell ref="C83:F83"/>
    <mergeCell ref="C85:F85"/>
    <mergeCell ref="C87:F87"/>
    <mergeCell ref="C89:F89"/>
    <mergeCell ref="C71:F71"/>
    <mergeCell ref="C73:F73"/>
    <mergeCell ref="C75:F75"/>
    <mergeCell ref="C77:F77"/>
    <mergeCell ref="C78:F78"/>
    <mergeCell ref="C80:F80"/>
    <mergeCell ref="C62:F62"/>
    <mergeCell ref="C63:F63"/>
    <mergeCell ref="C65:F65"/>
    <mergeCell ref="C67:F67"/>
    <mergeCell ref="C69:F69"/>
    <mergeCell ref="C70:F70"/>
    <mergeCell ref="C56:F56"/>
    <mergeCell ref="C57:F57"/>
    <mergeCell ref="C58:F58"/>
    <mergeCell ref="C59:F59"/>
    <mergeCell ref="C60:F60"/>
    <mergeCell ref="C61:F61"/>
    <mergeCell ref="C50:F50"/>
    <mergeCell ref="C51:F51"/>
    <mergeCell ref="C52:F52"/>
    <mergeCell ref="C53:F53"/>
    <mergeCell ref="C54:F54"/>
    <mergeCell ref="C55:F55"/>
    <mergeCell ref="C43:F43"/>
    <mergeCell ref="C45:F45"/>
    <mergeCell ref="C46:F46"/>
    <mergeCell ref="C47:F47"/>
    <mergeCell ref="C48:F48"/>
    <mergeCell ref="C49:F49"/>
    <mergeCell ref="C35:F35"/>
    <mergeCell ref="C36:F36"/>
    <mergeCell ref="C37:F37"/>
    <mergeCell ref="C38:F38"/>
    <mergeCell ref="C40:F40"/>
    <mergeCell ref="C41:F41"/>
    <mergeCell ref="C29:F29"/>
    <mergeCell ref="C30:F30"/>
    <mergeCell ref="C31:F31"/>
    <mergeCell ref="C32:F32"/>
    <mergeCell ref="C33:F33"/>
    <mergeCell ref="C34:F34"/>
    <mergeCell ref="C19:F19"/>
    <mergeCell ref="C21:F21"/>
    <mergeCell ref="C25:F25"/>
    <mergeCell ref="C26:F26"/>
    <mergeCell ref="C27:F27"/>
    <mergeCell ref="C28:F28"/>
    <mergeCell ref="C11:F11"/>
    <mergeCell ref="J10:L10"/>
    <mergeCell ref="C12:F12"/>
    <mergeCell ref="C13:F13"/>
    <mergeCell ref="C15:F15"/>
    <mergeCell ref="C16:F16"/>
    <mergeCell ref="G8:H9"/>
    <mergeCell ref="J2:M3"/>
    <mergeCell ref="J4:M5"/>
    <mergeCell ref="J6:M7"/>
    <mergeCell ref="J8:M9"/>
    <mergeCell ref="C10:F10"/>
    <mergeCell ref="I4:I5"/>
    <mergeCell ref="I6:I7"/>
    <mergeCell ref="I8:I9"/>
    <mergeCell ref="C2:D3"/>
    <mergeCell ref="C4:D5"/>
    <mergeCell ref="C6:D7"/>
    <mergeCell ref="C8:D9"/>
    <mergeCell ref="G2:H3"/>
    <mergeCell ref="G4:H5"/>
    <mergeCell ref="G6:H7"/>
    <mergeCell ref="A1:M1"/>
    <mergeCell ref="A2:B3"/>
    <mergeCell ref="A4:B5"/>
    <mergeCell ref="A6:B7"/>
    <mergeCell ref="A8:B9"/>
    <mergeCell ref="E2:F3"/>
    <mergeCell ref="E4:F5"/>
    <mergeCell ref="E6:F7"/>
    <mergeCell ref="E8:F9"/>
    <mergeCell ref="I2:I3"/>
  </mergeCells>
  <printOptions/>
  <pageMargins left="0.394" right="0.394" top="0.591" bottom="0.591" header="0" footer="0"/>
  <pageSetup firstPageNumber="0" useFirstPageNumber="1"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Stanislav Volek</cp:lastModifiedBy>
  <dcterms:created xsi:type="dcterms:W3CDTF">2021-06-10T20:06:38Z</dcterms:created>
  <dcterms:modified xsi:type="dcterms:W3CDTF">2022-12-08T17:56:59Z</dcterms:modified>
  <cp:category/>
  <cp:version/>
  <cp:contentType/>
  <cp:contentStatus/>
</cp:coreProperties>
</file>